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3.xml" ContentType="application/vnd.openxmlformats-officedocument.drawingml.chart+xml"/>
  <Override PartName="/xl/drawings/drawing21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2.xml" ContentType="application/vnd.openxmlformats-officedocument.drawing+xml"/>
  <Override PartName="/xl/charts/chart6.xml" ContentType="application/vnd.openxmlformats-officedocument.drawingml.chart+xml"/>
  <Override PartName="/xl/drawings/drawing2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Excel\Libros Soluciones\"/>
    </mc:Choice>
  </mc:AlternateContent>
  <xr:revisionPtr revIDLastSave="0" documentId="13_ncr:1_{9DFB0914-CCF3-49B2-9D0F-FE66A7DD6F68}" xr6:coauthVersionLast="47" xr6:coauthVersionMax="47" xr10:uidLastSave="{00000000-0000-0000-0000-000000000000}"/>
  <bookViews>
    <workbookView xWindow="-120" yWindow="-120" windowWidth="24240" windowHeight="13020" tabRatio="719" xr2:uid="{00000000-000D-0000-FFFF-FFFF00000000}"/>
  </bookViews>
  <sheets>
    <sheet name="Ejercicio 1" sheetId="8" r:id="rId1"/>
    <sheet name="Ejercicio 2" sheetId="9" r:id="rId2"/>
    <sheet name="Ejercicio 3" sheetId="10" r:id="rId3"/>
    <sheet name="Ejercicio 4" sheetId="1" r:id="rId4"/>
    <sheet name="Ejercicio 5" sheetId="2" r:id="rId5"/>
    <sheet name="Ejercicio 6" sheetId="3" r:id="rId6"/>
    <sheet name="Ejercicio 7" sheetId="11" r:id="rId7"/>
    <sheet name="Ejercicio 8" sheetId="4" r:id="rId8"/>
    <sheet name="Ejercicio 9A" sheetId="5" r:id="rId9"/>
    <sheet name="Ejercicio 9B" sheetId="6" r:id="rId10"/>
    <sheet name="Ejercicio 10" sheetId="7" r:id="rId11"/>
    <sheet name="Ejercicio 11A" sheetId="12" r:id="rId12"/>
    <sheet name="Ejercicio 11B" sheetId="13" r:id="rId13"/>
    <sheet name="Ejercicio 11C" sheetId="14" r:id="rId14"/>
    <sheet name="Ejercicio 12A" sheetId="15" r:id="rId15"/>
    <sheet name="Ejercicio 12B" sheetId="16" r:id="rId16"/>
    <sheet name="Ejercicio 12C" sheetId="17" r:id="rId17"/>
    <sheet name="Ejercicio 13" sheetId="33" r:id="rId18"/>
    <sheet name="Ejercicio 14" sheetId="40" r:id="rId19"/>
    <sheet name="Ejercicio 15" sheetId="41" r:id="rId20"/>
    <sheet name="Ejercicio 16A" sheetId="18" r:id="rId21"/>
    <sheet name="Ejercicio 16B" sheetId="19" r:id="rId22"/>
    <sheet name="Ejercicio 17" sheetId="20" r:id="rId23"/>
    <sheet name="Ejercicio 18" sheetId="21" r:id="rId24"/>
    <sheet name="Ejercicio 19" sheetId="22" r:id="rId25"/>
    <sheet name="Ejercicio 20" sheetId="23" r:id="rId26"/>
  </sheets>
  <definedNames>
    <definedName name="_Toc167610948" localSheetId="9">'Ejercicio 9B'!$F$2</definedName>
    <definedName name="_Toc167610950" localSheetId="20">'Ejercicio 16A'!$B$3</definedName>
    <definedName name="descuento">'Ejercicio 14'!$A$3:$B$6</definedName>
    <definedName name="inventario">'Ejercicio 14'!$A$24:$D$38</definedName>
    <definedName name="tabla">'Ejercicio 13'!$A$5:$C$8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33" l="1"/>
  <c r="F17" i="33"/>
  <c r="E19" i="40"/>
  <c r="C19" i="40"/>
  <c r="B19" i="40"/>
  <c r="E18" i="40"/>
  <c r="C18" i="40"/>
  <c r="B18" i="40"/>
  <c r="E17" i="40"/>
  <c r="C17" i="40"/>
  <c r="B17" i="40"/>
  <c r="E16" i="40"/>
  <c r="G16" i="40" s="1"/>
  <c r="H16" i="40" s="1"/>
  <c r="C16" i="40"/>
  <c r="B16" i="40"/>
  <c r="E15" i="40"/>
  <c r="G15" i="40" s="1"/>
  <c r="H15" i="40" s="1"/>
  <c r="C15" i="40"/>
  <c r="B15" i="40"/>
  <c r="E14" i="40"/>
  <c r="C14" i="40"/>
  <c r="B14" i="40"/>
  <c r="E13" i="40"/>
  <c r="G13" i="40" s="1"/>
  <c r="H13" i="40" s="1"/>
  <c r="C13" i="40"/>
  <c r="B13" i="40"/>
  <c r="E12" i="40"/>
  <c r="C12" i="40"/>
  <c r="B12" i="40"/>
  <c r="E11" i="40"/>
  <c r="C11" i="40"/>
  <c r="B11" i="40"/>
  <c r="E10" i="40"/>
  <c r="G10" i="40" s="1"/>
  <c r="H10" i="40" s="1"/>
  <c r="C10" i="40"/>
  <c r="B10" i="40"/>
  <c r="E9" i="40"/>
  <c r="C9" i="40"/>
  <c r="B9" i="40"/>
  <c r="E17" i="33"/>
  <c r="E16" i="33"/>
  <c r="F16" i="33" s="1"/>
  <c r="E15" i="33"/>
  <c r="E14" i="33"/>
  <c r="E13" i="33"/>
  <c r="F13" i="33" s="1"/>
  <c r="E12" i="33"/>
  <c r="F12" i="33" s="1"/>
  <c r="E11" i="33"/>
  <c r="F11" i="33" s="1"/>
  <c r="G11" i="33" s="1"/>
  <c r="G12" i="33" l="1"/>
  <c r="G14" i="33"/>
  <c r="H12" i="40"/>
  <c r="I12" i="40" s="1"/>
  <c r="J12" i="40" s="1"/>
  <c r="G15" i="33"/>
  <c r="H15" i="33" s="1"/>
  <c r="I15" i="33" s="1"/>
  <c r="G12" i="40"/>
  <c r="F15" i="33"/>
  <c r="G9" i="40"/>
  <c r="H9" i="40" s="1"/>
  <c r="I10" i="40"/>
  <c r="J10" i="40"/>
  <c r="I15" i="40"/>
  <c r="J15" i="40" s="1"/>
  <c r="I16" i="40"/>
  <c r="J16" i="40" s="1"/>
  <c r="I13" i="40"/>
  <c r="J13" i="40" s="1"/>
  <c r="G14" i="40"/>
  <c r="H14" i="40" s="1"/>
  <c r="G11" i="40"/>
  <c r="H11" i="40" s="1"/>
  <c r="G19" i="40"/>
  <c r="H19" i="40" s="1"/>
  <c r="G18" i="40"/>
  <c r="H18" i="40" s="1"/>
  <c r="G17" i="40"/>
  <c r="H17" i="40" s="1"/>
  <c r="H11" i="33"/>
  <c r="I11" i="33"/>
  <c r="H12" i="33"/>
  <c r="I12" i="33"/>
  <c r="H14" i="33"/>
  <c r="I14" i="33" s="1"/>
  <c r="G13" i="33"/>
  <c r="G16" i="33"/>
  <c r="G17" i="33"/>
  <c r="H10" i="41"/>
  <c r="H9" i="41"/>
  <c r="H7" i="41"/>
  <c r="H6" i="41"/>
  <c r="H5" i="41"/>
  <c r="B21" i="41"/>
  <c r="B20" i="41"/>
  <c r="B19" i="41"/>
  <c r="B18" i="41"/>
  <c r="I21" i="40"/>
  <c r="C21" i="41"/>
  <c r="C20" i="41"/>
  <c r="C19" i="41"/>
  <c r="C18" i="41"/>
  <c r="D17" i="41"/>
  <c r="E17" i="41" s="1"/>
  <c r="D16" i="41"/>
  <c r="E16" i="41" s="1"/>
  <c r="D15" i="41"/>
  <c r="E15" i="41" s="1"/>
  <c r="D14" i="41"/>
  <c r="E14" i="41" s="1"/>
  <c r="D13" i="41"/>
  <c r="E13" i="41" s="1"/>
  <c r="D12" i="41"/>
  <c r="E12" i="41" s="1"/>
  <c r="D11" i="41"/>
  <c r="E11" i="41" s="1"/>
  <c r="D10" i="41"/>
  <c r="E10" i="41" s="1"/>
  <c r="D9" i="41"/>
  <c r="E9" i="41" s="1"/>
  <c r="D8" i="41"/>
  <c r="E8" i="41" s="1"/>
  <c r="D7" i="41"/>
  <c r="E7" i="41" s="1"/>
  <c r="D6" i="41"/>
  <c r="E6" i="41" s="1"/>
  <c r="D5" i="41"/>
  <c r="E5" i="41" s="1"/>
  <c r="D4" i="41"/>
  <c r="E4" i="41" s="1"/>
  <c r="D3" i="41"/>
  <c r="E3" i="41" s="1"/>
  <c r="I9" i="40" l="1"/>
  <c r="J9" i="40" s="1"/>
  <c r="H11" i="41"/>
  <c r="I18" i="40"/>
  <c r="J18" i="40"/>
  <c r="I11" i="40"/>
  <c r="J11" i="40" s="1"/>
  <c r="I17" i="40"/>
  <c r="J17" i="40" s="1"/>
  <c r="I14" i="40"/>
  <c r="J14" i="40" s="1"/>
  <c r="I19" i="40"/>
  <c r="J19" i="40" s="1"/>
  <c r="H13" i="33"/>
  <c r="I13" i="33" s="1"/>
  <c r="H17" i="33"/>
  <c r="I17" i="33" s="1"/>
  <c r="H16" i="33"/>
  <c r="I16" i="33" s="1"/>
  <c r="H8" i="41"/>
  <c r="H4" i="41"/>
  <c r="D18" i="41"/>
  <c r="E21" i="41"/>
  <c r="H3" i="41"/>
  <c r="E18" i="41"/>
  <c r="D19" i="41"/>
  <c r="D20" i="41"/>
  <c r="D21" i="41"/>
  <c r="E20" i="41"/>
  <c r="E19" i="41" l="1"/>
  <c r="C22" i="40" l="1"/>
  <c r="C21" i="40"/>
  <c r="I22" i="40"/>
  <c r="E6" i="21"/>
  <c r="E7" i="21"/>
  <c r="E8" i="21"/>
  <c r="E5" i="21"/>
  <c r="E6" i="20"/>
  <c r="E7" i="20"/>
  <c r="E8" i="20"/>
  <c r="E9" i="20"/>
  <c r="E10" i="20"/>
  <c r="E5" i="20"/>
  <c r="D4" i="17" l="1"/>
  <c r="E4" i="17"/>
  <c r="D5" i="17"/>
  <c r="E5" i="17"/>
  <c r="D6" i="17"/>
  <c r="E6" i="17"/>
  <c r="D7" i="17"/>
  <c r="E7" i="17"/>
  <c r="D8" i="17"/>
  <c r="E8" i="17"/>
  <c r="D9" i="17"/>
  <c r="E9" i="17"/>
  <c r="C5" i="17"/>
  <c r="C6" i="17"/>
  <c r="C7" i="17"/>
  <c r="F7" i="17" s="1"/>
  <c r="C8" i="17"/>
  <c r="C9" i="17"/>
  <c r="C4" i="17"/>
  <c r="F5" i="15"/>
  <c r="F6" i="15"/>
  <c r="F7" i="15"/>
  <c r="F8" i="15"/>
  <c r="F9" i="15"/>
  <c r="F5" i="16"/>
  <c r="F6" i="16"/>
  <c r="F7" i="16"/>
  <c r="F8" i="16"/>
  <c r="F9" i="16"/>
  <c r="F6" i="17"/>
  <c r="F4" i="15"/>
  <c r="F4" i="16"/>
  <c r="F4" i="17"/>
  <c r="D6" i="14"/>
  <c r="E6" i="14"/>
  <c r="F6" i="14"/>
  <c r="D7" i="14"/>
  <c r="E7" i="14"/>
  <c r="F7" i="14"/>
  <c r="D8" i="14"/>
  <c r="E8" i="14"/>
  <c r="F8" i="14"/>
  <c r="C7" i="14"/>
  <c r="C8" i="14"/>
  <c r="C6" i="14"/>
  <c r="D9" i="13"/>
  <c r="E9" i="13"/>
  <c r="F9" i="13"/>
  <c r="C9" i="13"/>
  <c r="G7" i="13"/>
  <c r="G8" i="13"/>
  <c r="G6" i="13"/>
  <c r="D9" i="12"/>
  <c r="E9" i="12"/>
  <c r="E9" i="14" s="1"/>
  <c r="F9" i="12"/>
  <c r="F9" i="14" s="1"/>
  <c r="C9" i="12"/>
  <c r="G7" i="12"/>
  <c r="G8" i="12"/>
  <c r="G8" i="14" s="1"/>
  <c r="G6" i="12"/>
  <c r="G6" i="14" s="1"/>
  <c r="D9" i="7"/>
  <c r="D10" i="7"/>
  <c r="D11" i="7"/>
  <c r="D12" i="7"/>
  <c r="C12" i="7"/>
  <c r="C11" i="7"/>
  <c r="C10" i="7"/>
  <c r="C9" i="7"/>
  <c r="F7" i="7"/>
  <c r="G7" i="7" s="1"/>
  <c r="E4" i="7"/>
  <c r="F4" i="7" s="1"/>
  <c r="G4" i="7" s="1"/>
  <c r="E5" i="7"/>
  <c r="F5" i="7" s="1"/>
  <c r="G5" i="7" s="1"/>
  <c r="E6" i="7"/>
  <c r="F6" i="7" s="1"/>
  <c r="G6" i="7" s="1"/>
  <c r="E7" i="7"/>
  <c r="E8" i="7"/>
  <c r="F8" i="7" s="1"/>
  <c r="G8" i="7" s="1"/>
  <c r="E3" i="7"/>
  <c r="D11" i="6"/>
  <c r="E11" i="6"/>
  <c r="D12" i="6"/>
  <c r="E12" i="6"/>
  <c r="D13" i="6"/>
  <c r="E13" i="6"/>
  <c r="C13" i="6"/>
  <c r="C12" i="6"/>
  <c r="C11" i="6"/>
  <c r="F5" i="6" s="1"/>
  <c r="I9" i="5"/>
  <c r="I3" i="5"/>
  <c r="H4" i="5"/>
  <c r="H5" i="5"/>
  <c r="I5" i="5" s="1"/>
  <c r="H6" i="5"/>
  <c r="I6" i="5" s="1"/>
  <c r="H7" i="5"/>
  <c r="I7" i="5" s="1"/>
  <c r="H8" i="5"/>
  <c r="J8" i="5" s="1"/>
  <c r="H9" i="5"/>
  <c r="H10" i="5"/>
  <c r="I10" i="5" s="1"/>
  <c r="H11" i="5"/>
  <c r="I11" i="5" s="1"/>
  <c r="H12" i="5"/>
  <c r="H3" i="5"/>
  <c r="H13" i="5"/>
  <c r="D15" i="5"/>
  <c r="E15" i="5"/>
  <c r="F15" i="5"/>
  <c r="G15" i="5"/>
  <c r="C15" i="5"/>
  <c r="D14" i="5"/>
  <c r="E14" i="5"/>
  <c r="F14" i="5"/>
  <c r="G14" i="5"/>
  <c r="C14" i="5"/>
  <c r="D13" i="5"/>
  <c r="E13" i="5"/>
  <c r="F13" i="5"/>
  <c r="G13" i="5"/>
  <c r="C13" i="5"/>
  <c r="N4" i="4"/>
  <c r="N3" i="4"/>
  <c r="D5" i="4"/>
  <c r="F5" i="4"/>
  <c r="H5" i="4"/>
  <c r="J5" i="4"/>
  <c r="L5" i="4"/>
  <c r="B5" i="4"/>
  <c r="M4" i="4"/>
  <c r="K4" i="4"/>
  <c r="I4" i="4"/>
  <c r="G4" i="4"/>
  <c r="E4" i="4"/>
  <c r="C4" i="4"/>
  <c r="M3" i="4"/>
  <c r="K3" i="4"/>
  <c r="I3" i="4"/>
  <c r="G3" i="4"/>
  <c r="E3" i="4"/>
  <c r="C3" i="4"/>
  <c r="D7" i="11"/>
  <c r="C7" i="11"/>
  <c r="E4" i="11"/>
  <c r="I4" i="11" s="1"/>
  <c r="E5" i="11"/>
  <c r="I5" i="11" s="1"/>
  <c r="E6" i="11"/>
  <c r="I6" i="11" s="1"/>
  <c r="E3" i="11"/>
  <c r="I3" i="11" s="1"/>
  <c r="G2" i="3"/>
  <c r="C3" i="3"/>
  <c r="D3" i="3"/>
  <c r="D6" i="3" s="1"/>
  <c r="E3" i="3"/>
  <c r="E6" i="3" s="1"/>
  <c r="F3" i="3"/>
  <c r="C4" i="3"/>
  <c r="D4" i="3"/>
  <c r="E4" i="3"/>
  <c r="F4" i="3"/>
  <c r="F6" i="3" s="1"/>
  <c r="C5" i="3"/>
  <c r="D5" i="3"/>
  <c r="E5" i="3"/>
  <c r="F5" i="3"/>
  <c r="C6" i="3"/>
  <c r="B5" i="3"/>
  <c r="B4" i="3"/>
  <c r="B3" i="3"/>
  <c r="G3" i="3" s="1"/>
  <c r="G12" i="2"/>
  <c r="G13" i="2"/>
  <c r="G14" i="2"/>
  <c r="G15" i="2"/>
  <c r="G16" i="2"/>
  <c r="G17" i="2"/>
  <c r="G18" i="2"/>
  <c r="G19" i="2"/>
  <c r="G20" i="2"/>
  <c r="G21" i="2"/>
  <c r="G22" i="2"/>
  <c r="G23" i="2"/>
  <c r="G11" i="2"/>
  <c r="G4" i="3" l="1"/>
  <c r="D9" i="14"/>
  <c r="G5" i="3"/>
  <c r="J9" i="5"/>
  <c r="G7" i="14"/>
  <c r="G9" i="13"/>
  <c r="F9" i="17"/>
  <c r="F5" i="17"/>
  <c r="G24" i="2"/>
  <c r="G26" i="2" s="1"/>
  <c r="E10" i="7"/>
  <c r="J3" i="5"/>
  <c r="J5" i="5"/>
  <c r="J12" i="5"/>
  <c r="J4" i="5"/>
  <c r="F8" i="17"/>
  <c r="I7" i="11"/>
  <c r="F6" i="11"/>
  <c r="J11" i="5"/>
  <c r="F8" i="6"/>
  <c r="E12" i="7"/>
  <c r="E9" i="7"/>
  <c r="B6" i="3"/>
  <c r="G6" i="3" s="1"/>
  <c r="F5" i="11"/>
  <c r="G5" i="11"/>
  <c r="H5" i="11"/>
  <c r="N5" i="4"/>
  <c r="I12" i="5"/>
  <c r="I8" i="5"/>
  <c r="I4" i="5"/>
  <c r="J10" i="5"/>
  <c r="J6" i="5"/>
  <c r="F4" i="6"/>
  <c r="F7" i="6"/>
  <c r="G9" i="12"/>
  <c r="C9" i="14"/>
  <c r="H6" i="11"/>
  <c r="E7" i="11"/>
  <c r="J7" i="5"/>
  <c r="E11" i="7"/>
  <c r="F4" i="11"/>
  <c r="G4" i="11"/>
  <c r="H4" i="11"/>
  <c r="O3" i="4"/>
  <c r="K5" i="4"/>
  <c r="J6" i="4" s="1"/>
  <c r="F10" i="6"/>
  <c r="F6" i="6"/>
  <c r="F3" i="7"/>
  <c r="G6" i="11"/>
  <c r="F3" i="11"/>
  <c r="G3" i="11"/>
  <c r="H3" i="11"/>
  <c r="F9" i="6"/>
  <c r="O4" i="4"/>
  <c r="O5" i="4" s="1"/>
  <c r="N6" i="4" s="1"/>
  <c r="G5" i="4"/>
  <c r="F6" i="4" s="1"/>
  <c r="E5" i="4"/>
  <c r="D6" i="4" s="1"/>
  <c r="I5" i="4"/>
  <c r="H6" i="4" s="1"/>
  <c r="M5" i="4"/>
  <c r="L6" i="4" s="1"/>
  <c r="C5" i="4"/>
  <c r="B6" i="4" s="1"/>
  <c r="G15" i="1"/>
  <c r="G17" i="1"/>
  <c r="G18" i="1"/>
  <c r="G19" i="1"/>
  <c r="E14" i="1"/>
  <c r="G14" i="1" s="1"/>
  <c r="E15" i="1"/>
  <c r="E16" i="1"/>
  <c r="G16" i="1" s="1"/>
  <c r="E17" i="1"/>
  <c r="E18" i="1"/>
  <c r="E19" i="1"/>
  <c r="E13" i="1"/>
  <c r="G13" i="1" s="1"/>
  <c r="G5" i="1"/>
  <c r="G6" i="1"/>
  <c r="G3" i="1"/>
  <c r="E4" i="1"/>
  <c r="G4" i="1" s="1"/>
  <c r="E5" i="1"/>
  <c r="E6" i="1"/>
  <c r="E7" i="1"/>
  <c r="G7" i="1" s="1"/>
  <c r="E8" i="1"/>
  <c r="G8" i="1" s="1"/>
  <c r="E9" i="1"/>
  <c r="G9" i="1" s="1"/>
  <c r="E3" i="1"/>
  <c r="C17" i="10"/>
  <c r="D17" i="10"/>
  <c r="E17" i="10"/>
  <c r="F17" i="10"/>
  <c r="B17" i="10"/>
  <c r="G6" i="10"/>
  <c r="G7" i="10"/>
  <c r="G8" i="10"/>
  <c r="G9" i="10"/>
  <c r="G10" i="10"/>
  <c r="G11" i="10"/>
  <c r="G12" i="10"/>
  <c r="G13" i="10"/>
  <c r="G14" i="10"/>
  <c r="G15" i="10"/>
  <c r="G16" i="10"/>
  <c r="G5" i="10"/>
  <c r="G9" i="14" l="1"/>
  <c r="F7" i="11"/>
  <c r="G27" i="2"/>
  <c r="G28" i="2" s="1"/>
  <c r="H7" i="11"/>
  <c r="F9" i="7"/>
  <c r="F10" i="7"/>
  <c r="F11" i="7"/>
  <c r="F12" i="7"/>
  <c r="G3" i="7"/>
  <c r="G7" i="11"/>
  <c r="G17" i="10"/>
  <c r="G9" i="7" l="1"/>
  <c r="G10" i="7"/>
  <c r="G11" i="7"/>
  <c r="G12" i="7"/>
</calcChain>
</file>

<file path=xl/sharedStrings.xml><?xml version="1.0" encoding="utf-8"?>
<sst xmlns="http://schemas.openxmlformats.org/spreadsheetml/2006/main" count="525" uniqueCount="343">
  <si>
    <t>Producto</t>
  </si>
  <si>
    <t>Precio Compra</t>
  </si>
  <si>
    <t>Incremento</t>
  </si>
  <si>
    <t>Precio Venta</t>
  </si>
  <si>
    <t>Cantidad</t>
  </si>
  <si>
    <t>Total Ventas</t>
  </si>
  <si>
    <t>Pantalón</t>
  </si>
  <si>
    <t>Camisa</t>
  </si>
  <si>
    <t>Vestido</t>
  </si>
  <si>
    <t>Falda</t>
  </si>
  <si>
    <t>Camiseta</t>
  </si>
  <si>
    <t>Jersey</t>
  </si>
  <si>
    <t>Short</t>
  </si>
  <si>
    <t>Enero</t>
  </si>
  <si>
    <t>Febrero</t>
  </si>
  <si>
    <t>Marzo</t>
  </si>
  <si>
    <t>Abril</t>
  </si>
  <si>
    <t>Mayo</t>
  </si>
  <si>
    <t>Total</t>
  </si>
  <si>
    <t>Total Comisiones</t>
  </si>
  <si>
    <t>Total Impuestos</t>
  </si>
  <si>
    <t>Gastos Fijos</t>
  </si>
  <si>
    <t>Total Neto</t>
  </si>
  <si>
    <t xml:space="preserve">% Comercial </t>
  </si>
  <si>
    <t>% Impuestos</t>
  </si>
  <si>
    <t>LUNES</t>
  </si>
  <si>
    <t>SÁBADO</t>
  </si>
  <si>
    <t>TOTAL SEMANA</t>
  </si>
  <si>
    <t>ASISTENCIA</t>
  </si>
  <si>
    <t>TAQUILLA</t>
  </si>
  <si>
    <t>NORMALES</t>
  </si>
  <si>
    <t>REDUCIDAS</t>
  </si>
  <si>
    <t>TOTAL</t>
  </si>
  <si>
    <t>¿RENTABLE?</t>
  </si>
  <si>
    <t>REDUCCIÓN</t>
  </si>
  <si>
    <t>PRECIO ENTRADA</t>
  </si>
  <si>
    <t>CANTIDAD MARGEN</t>
  </si>
  <si>
    <t>MODULO 1</t>
  </si>
  <si>
    <t>MODULO 2</t>
  </si>
  <si>
    <t>MODULO 3</t>
  </si>
  <si>
    <t>MODULO 4</t>
  </si>
  <si>
    <t>MODULO 5</t>
  </si>
  <si>
    <t>MÁXIMO</t>
  </si>
  <si>
    <t>MÍNIMO</t>
  </si>
  <si>
    <t>TEMPERATURA (ºC)</t>
  </si>
  <si>
    <r>
      <t>LLUVIAS (l/m</t>
    </r>
    <r>
      <rPr>
        <i/>
        <vertAlign val="superscript"/>
        <sz val="8"/>
        <color theme="1"/>
        <rFont val="Times New Roman"/>
        <family val="1"/>
      </rPr>
      <t>3</t>
    </r>
    <r>
      <rPr>
        <i/>
        <sz val="8"/>
        <color theme="1"/>
        <rFont val="Times New Roman"/>
        <family val="1"/>
      </rPr>
      <t>)</t>
    </r>
  </si>
  <si>
    <t xml:space="preserve">HUMEDAD </t>
  </si>
  <si>
    <t>RELATIVA (%)</t>
  </si>
  <si>
    <t>RELACIÓN TEMP.</t>
  </si>
  <si>
    <t>RESPECTO A MEDIA</t>
  </si>
  <si>
    <t>MARTES</t>
  </si>
  <si>
    <t>MIÉRCOLES</t>
  </si>
  <si>
    <t>JUEVES</t>
  </si>
  <si>
    <t>VIERNES</t>
  </si>
  <si>
    <t>DOMINGO</t>
  </si>
  <si>
    <t>PROMEDIO</t>
  </si>
  <si>
    <t>Fecha</t>
  </si>
  <si>
    <t>Cliente</t>
  </si>
  <si>
    <t>Dirección</t>
  </si>
  <si>
    <t>NIF</t>
  </si>
  <si>
    <t>Concepto</t>
  </si>
  <si>
    <t>Tumbona</t>
  </si>
  <si>
    <t>Banco bogor</t>
  </si>
  <si>
    <t>Mesa Alexander</t>
  </si>
  <si>
    <t>Silla Mima</t>
  </si>
  <si>
    <t>Báscula de baño electrónica</t>
  </si>
  <si>
    <t>Báscula de baño Digital</t>
  </si>
  <si>
    <t>Sofá modelo actual</t>
  </si>
  <si>
    <t>Conjunto tresillo 3 + 2 plazas en cuero</t>
  </si>
  <si>
    <t>Colchón Pikolín de 90 cm.</t>
  </si>
  <si>
    <t>Colchón matrimonio Flex</t>
  </si>
  <si>
    <t>Subtotal</t>
  </si>
  <si>
    <t>Descuento</t>
  </si>
  <si>
    <t>TOTAL A PAGAR</t>
  </si>
  <si>
    <t>Nombre</t>
  </si>
  <si>
    <t>Horas normales</t>
  </si>
  <si>
    <t>Horas extras</t>
  </si>
  <si>
    <t>Horas totales</t>
  </si>
  <si>
    <t>Incentivo</t>
  </si>
  <si>
    <t>Salario</t>
  </si>
  <si>
    <t>María</t>
  </si>
  <si>
    <t>David</t>
  </si>
  <si>
    <t>CURSO DE OFFICE AVANZADO</t>
  </si>
  <si>
    <t>Fecha Inicio</t>
  </si>
  <si>
    <t>Fecha Fin</t>
  </si>
  <si>
    <t>Horario</t>
  </si>
  <si>
    <t>Lunes a Jueves</t>
  </si>
  <si>
    <t xml:space="preserve">Estan Camino, Jesús </t>
  </si>
  <si>
    <t xml:space="preserve">Flores del Campo, Margarita </t>
  </si>
  <si>
    <t xml:space="preserve">Fina Segura, Eva </t>
  </si>
  <si>
    <t xml:space="preserve">Marco Gol, Roberto </t>
  </si>
  <si>
    <t xml:space="preserve">Sin Mayordomo, José </t>
  </si>
  <si>
    <t xml:space="preserve">Trabajo Cumplido, Pedro </t>
  </si>
  <si>
    <t xml:space="preserve">Bronca Segura, Armando </t>
  </si>
  <si>
    <t xml:space="preserve">Izquierdo, Segundo </t>
  </si>
  <si>
    <t xml:space="preserve">Dereojo, Casimiro </t>
  </si>
  <si>
    <t xml:space="preserve">Moreno Blanco, Ángel </t>
  </si>
  <si>
    <t>HUMEDAD
RELATIVA (%)</t>
  </si>
  <si>
    <t>ESTACIÓN METEOROLÓGICA</t>
  </si>
  <si>
    <r>
      <t>LLUVIAS (l/m</t>
    </r>
    <r>
      <rPr>
        <vertAlign val="superscript"/>
        <sz val="11"/>
        <color theme="0"/>
        <rFont val="Arial"/>
        <family val="2"/>
      </rPr>
      <t>3</t>
    </r>
    <r>
      <rPr>
        <sz val="11"/>
        <color theme="0"/>
        <rFont val="Arial"/>
        <family val="2"/>
      </rPr>
      <t>)</t>
    </r>
  </si>
  <si>
    <t>VENTA DE ELECTRODOMÉSTICOS 2011</t>
  </si>
  <si>
    <t>Teléfono Móvil</t>
  </si>
  <si>
    <t>Lector Dvd</t>
  </si>
  <si>
    <t>Cámara Digital</t>
  </si>
  <si>
    <t>MP3</t>
  </si>
  <si>
    <t>Televisión</t>
  </si>
  <si>
    <t>Junio</t>
  </si>
  <si>
    <t>Julio</t>
  </si>
  <si>
    <t>Agosto</t>
  </si>
  <si>
    <t>Septiembre</t>
  </si>
  <si>
    <t>Octubre</t>
  </si>
  <si>
    <t>Noviembre</t>
  </si>
  <si>
    <t>Diciembre</t>
  </si>
  <si>
    <t>El Pato</t>
  </si>
  <si>
    <t>Artículos de decoración</t>
  </si>
  <si>
    <t>Lámpara Logos</t>
  </si>
  <si>
    <t>Sillón orellero</t>
  </si>
  <si>
    <t xml:space="preserve"> </t>
  </si>
  <si>
    <t>Mesa TV froja 80 x 46 cm.</t>
  </si>
  <si>
    <t>Precio 
unitario</t>
  </si>
  <si>
    <t>Precio
definitivo</t>
  </si>
  <si>
    <t>HORAS</t>
  </si>
  <si>
    <t>SUBVENCIÓN</t>
  </si>
  <si>
    <t>ADMINISTRACIÓN</t>
  </si>
  <si>
    <t>INSTALACIONES</t>
  </si>
  <si>
    <t>PROFESORADO</t>
  </si>
  <si>
    <t>MATERIAL</t>
  </si>
  <si>
    <t>OFIMÁTICA AVANZADA</t>
  </si>
  <si>
    <t>OFIMÁTICA INICIAL</t>
  </si>
  <si>
    <t>DISEÑO GRÁFICO</t>
  </si>
  <si>
    <t>COMERCIO ELECTRÓNICO</t>
  </si>
  <si>
    <t>TOTALES</t>
  </si>
  <si>
    <t>SUBVENCIÓN (hora/alumno)</t>
  </si>
  <si>
    <t>NÚM. 
ALUMNOS</t>
  </si>
  <si>
    <t>MÓDULO 1</t>
  </si>
  <si>
    <t>MÓDULO 2</t>
  </si>
  <si>
    <t>MÓDULO 3</t>
  </si>
  <si>
    <t>MÓDULO 4</t>
  </si>
  <si>
    <t>MÓDULO 5</t>
  </si>
  <si>
    <t>¿APTO?</t>
  </si>
  <si>
    <t>DESTACA</t>
  </si>
  <si>
    <t>MÍNIMA</t>
  </si>
  <si>
    <t>Vicente</t>
  </si>
  <si>
    <t>Miguel</t>
  </si>
  <si>
    <t>Juan</t>
  </si>
  <si>
    <t>Amparo</t>
  </si>
  <si>
    <t>Tienda 1</t>
  </si>
  <si>
    <t>Tienda 2</t>
  </si>
  <si>
    <t>Tienda 3</t>
  </si>
  <si>
    <t>Primer Trimestre</t>
  </si>
  <si>
    <t>Segundo Trimestre</t>
  </si>
  <si>
    <t>Tercer Trimestre</t>
  </si>
  <si>
    <t>Cuarto Trimestre</t>
  </si>
  <si>
    <t>Ana</t>
  </si>
  <si>
    <t>Cristina</t>
  </si>
  <si>
    <t>Alberto</t>
  </si>
  <si>
    <t>Sonia</t>
  </si>
  <si>
    <t>Jesús</t>
  </si>
  <si>
    <t>Primera Evaluación</t>
  </si>
  <si>
    <t>Tercera Evaluación</t>
  </si>
  <si>
    <t>Francisco</t>
  </si>
  <si>
    <t>Segunda Evaluación</t>
  </si>
  <si>
    <t>Promedio</t>
  </si>
  <si>
    <t>Progresista</t>
  </si>
  <si>
    <t>Conservador</t>
  </si>
  <si>
    <t>Ecologista</t>
  </si>
  <si>
    <t>Independentista</t>
  </si>
  <si>
    <t>Nulos</t>
  </si>
  <si>
    <t>Colegio 1</t>
  </si>
  <si>
    <r>
      <t>LLUVIAS (l/m</t>
    </r>
    <r>
      <rPr>
        <i/>
        <vertAlign val="superscript"/>
        <sz val="11"/>
        <color theme="1"/>
        <rFont val="Arial"/>
        <family val="2"/>
      </rPr>
      <t>3</t>
    </r>
    <r>
      <rPr>
        <i/>
        <sz val="11"/>
        <color theme="1"/>
        <rFont val="Arial"/>
        <family val="2"/>
      </rPr>
      <t>)</t>
    </r>
  </si>
  <si>
    <t>HUMEDAD RELATIVA (%)</t>
  </si>
  <si>
    <t>VENTAS MENSUALES</t>
  </si>
  <si>
    <t>PRODUCTO 1</t>
  </si>
  <si>
    <t>PRODUCTO 2</t>
  </si>
  <si>
    <t>TOTAL VENTAS</t>
  </si>
  <si>
    <t>ENERO</t>
  </si>
  <si>
    <t>FEBRERO</t>
  </si>
  <si>
    <t>MARZO</t>
  </si>
  <si>
    <t>ABRIL</t>
  </si>
  <si>
    <t>MAYO</t>
  </si>
  <si>
    <t>JUNIO</t>
  </si>
  <si>
    <t>Beneficios empresa Raticulín S.A.</t>
  </si>
  <si>
    <t>Año 1</t>
  </si>
  <si>
    <t>Año 2</t>
  </si>
  <si>
    <t>Año 3</t>
  </si>
  <si>
    <t>Totales</t>
  </si>
  <si>
    <t>Producto1</t>
  </si>
  <si>
    <t>Producto2</t>
  </si>
  <si>
    <t>Producto3</t>
  </si>
  <si>
    <t>Producto4</t>
  </si>
  <si>
    <t>Lectura de diarios en Cataluña</t>
  </si>
  <si>
    <t>El Periódico</t>
  </si>
  <si>
    <t>La Vanguardia</t>
  </si>
  <si>
    <t>El País</t>
  </si>
  <si>
    <t>El Mundo</t>
  </si>
  <si>
    <t>Sport</t>
  </si>
  <si>
    <t>El Mundo Deportivo</t>
  </si>
  <si>
    <t>Evolución de los accidentes de trabajo en Burundi</t>
  </si>
  <si>
    <t>Año</t>
  </si>
  <si>
    <t>Nº Accid.</t>
  </si>
  <si>
    <t>Apellidos</t>
  </si>
  <si>
    <t>Edad</t>
  </si>
  <si>
    <t>Afición</t>
  </si>
  <si>
    <t>Sexo</t>
  </si>
  <si>
    <t>Cuota</t>
  </si>
  <si>
    <t>Fecha Ingreso</t>
  </si>
  <si>
    <t>Mafalda</t>
  </si>
  <si>
    <t>Che</t>
  </si>
  <si>
    <t>Bolos</t>
  </si>
  <si>
    <t>M</t>
  </si>
  <si>
    <t>Jessica</t>
  </si>
  <si>
    <t>Rabbit</t>
  </si>
  <si>
    <t>Baloncesto</t>
  </si>
  <si>
    <t>Minnie</t>
  </si>
  <si>
    <t>Mouse</t>
  </si>
  <si>
    <t>Pink</t>
  </si>
  <si>
    <t>Panter</t>
  </si>
  <si>
    <t>Natación</t>
  </si>
  <si>
    <t>Daysi</t>
  </si>
  <si>
    <t>Donald</t>
  </si>
  <si>
    <t>Voleibol</t>
  </si>
  <si>
    <t>Peggy</t>
  </si>
  <si>
    <t>Penelope</t>
  </si>
  <si>
    <t>Glamour</t>
  </si>
  <si>
    <t>Bugs</t>
  </si>
  <si>
    <t>Bunny</t>
  </si>
  <si>
    <t>Fútbol</t>
  </si>
  <si>
    <t>H</t>
  </si>
  <si>
    <t>Peter</t>
  </si>
  <si>
    <t>Pan</t>
  </si>
  <si>
    <t>Corre</t>
  </si>
  <si>
    <t>Caminos</t>
  </si>
  <si>
    <t>Roger</t>
  </si>
  <si>
    <t>Coyote</t>
  </si>
  <si>
    <t>Acme</t>
  </si>
  <si>
    <t>Silvestre</t>
  </si>
  <si>
    <t>LindoGatito</t>
  </si>
  <si>
    <t>Mickey</t>
  </si>
  <si>
    <t>Popeye</t>
  </si>
  <si>
    <t>Elmarino</t>
  </si>
  <si>
    <t>Lucas</t>
  </si>
  <si>
    <t>Pato</t>
  </si>
  <si>
    <t>Porky</t>
  </si>
  <si>
    <t>Duck</t>
  </si>
  <si>
    <t>Goofy</t>
  </si>
  <si>
    <t>Gof</t>
  </si>
  <si>
    <t>Speedy</t>
  </si>
  <si>
    <t>Gonzalez</t>
  </si>
  <si>
    <t>Gustavo</t>
  </si>
  <si>
    <t>Chicharachero</t>
  </si>
  <si>
    <t>Ventas</t>
  </si>
  <si>
    <t>Precio</t>
  </si>
  <si>
    <t>Descuentos</t>
  </si>
  <si>
    <t>Género</t>
  </si>
  <si>
    <t>Comedia</t>
  </si>
  <si>
    <t>Drama</t>
  </si>
  <si>
    <t>Acción</t>
  </si>
  <si>
    <t>Solas</t>
  </si>
  <si>
    <t>Hotel Capitol</t>
  </si>
  <si>
    <t>Tarifas</t>
  </si>
  <si>
    <t>IVA</t>
  </si>
  <si>
    <t>Tipo</t>
  </si>
  <si>
    <t>Desc.</t>
  </si>
  <si>
    <t>Individual</t>
  </si>
  <si>
    <t>Normal</t>
  </si>
  <si>
    <t>Doble</t>
  </si>
  <si>
    <t>Empresa</t>
  </si>
  <si>
    <t>Familiar</t>
  </si>
  <si>
    <t>Fin de semana</t>
  </si>
  <si>
    <t>Habitación</t>
  </si>
  <si>
    <t>Tipo de
descuento</t>
  </si>
  <si>
    <t>Precio
sin IVA</t>
  </si>
  <si>
    <t>Precio
final</t>
  </si>
  <si>
    <t>H502</t>
  </si>
  <si>
    <t>H402</t>
  </si>
  <si>
    <t>H109</t>
  </si>
  <si>
    <t>H206</t>
  </si>
  <si>
    <t>H112</t>
  </si>
  <si>
    <t>H110</t>
  </si>
  <si>
    <t>H421</t>
  </si>
  <si>
    <t>Código</t>
  </si>
  <si>
    <t>Cantidad de
huéspedes</t>
  </si>
  <si>
    <t>Días</t>
  </si>
  <si>
    <t>VIDEO-CLUB TURIA
Factura de venta</t>
  </si>
  <si>
    <t>DESCUENTOS</t>
  </si>
  <si>
    <t>Titulo</t>
  </si>
  <si>
    <t>Cod.Desc.</t>
  </si>
  <si>
    <t>P.IVA inc.</t>
  </si>
  <si>
    <t>American Beauty</t>
  </si>
  <si>
    <t>La sirenita 2</t>
  </si>
  <si>
    <t>Infantil</t>
  </si>
  <si>
    <t>South Park</t>
  </si>
  <si>
    <t>Casblanca</t>
  </si>
  <si>
    <t>Clásicos</t>
  </si>
  <si>
    <t>Desafio total</t>
  </si>
  <si>
    <t>Ciencia Ficción</t>
  </si>
  <si>
    <t>Lo que el viento se llevó</t>
  </si>
  <si>
    <t>Anaconda</t>
  </si>
  <si>
    <t>Terror</t>
  </si>
  <si>
    <t>Gladiator</t>
  </si>
  <si>
    <t>El fin de los días</t>
  </si>
  <si>
    <t>Las cenizas de Angela</t>
  </si>
  <si>
    <t>Batman</t>
  </si>
  <si>
    <t>Ciencia ficción</t>
  </si>
  <si>
    <t>Máx. precio</t>
  </si>
  <si>
    <t>Cantidad total</t>
  </si>
  <si>
    <t>Min. Precio</t>
  </si>
  <si>
    <t>Total general</t>
  </si>
  <si>
    <t>Genero</t>
  </si>
  <si>
    <t>El rey León</t>
  </si>
  <si>
    <t>SALARIOS</t>
  </si>
  <si>
    <t>Base</t>
  </si>
  <si>
    <t>Comisión</t>
  </si>
  <si>
    <t>Teo</t>
  </si>
  <si>
    <t>Inmaculada</t>
  </si>
  <si>
    <t>Jacobo</t>
  </si>
  <si>
    <t>Andrés</t>
  </si>
  <si>
    <t>Ejercicio</t>
  </si>
  <si>
    <t>Resultado</t>
  </si>
  <si>
    <t>Milagros</t>
  </si>
  <si>
    <t>ejercicio 1</t>
  </si>
  <si>
    <t>Javi</t>
  </si>
  <si>
    <t>ejercicio 2</t>
  </si>
  <si>
    <t>Jose</t>
  </si>
  <si>
    <t>ejercicio 3</t>
  </si>
  <si>
    <t>Lisa</t>
  </si>
  <si>
    <t>ejercicio 4</t>
  </si>
  <si>
    <t>Carmen</t>
  </si>
  <si>
    <t>ejercicio 5</t>
  </si>
  <si>
    <t>Maria</t>
  </si>
  <si>
    <t>ejercicio 6</t>
  </si>
  <si>
    <t>Alejandro</t>
  </si>
  <si>
    <t>ejercicio 7</t>
  </si>
  <si>
    <t>Sergio</t>
  </si>
  <si>
    <t>ejercicio 8</t>
  </si>
  <si>
    <t>Oscar</t>
  </si>
  <si>
    <t>ejercicio 9</t>
  </si>
  <si>
    <t>Minimo</t>
  </si>
  <si>
    <t>Máximo</t>
  </si>
  <si>
    <t>Hormigaz</t>
  </si>
  <si>
    <t>IVA (21%)</t>
  </si>
  <si>
    <t>Base imponible</t>
  </si>
  <si>
    <t>Cantidad a descontar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</si>
</sst>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C0A]_-;\-* #,##0.00\ [$€-C0A]_-;_-* &quot;-&quot;??\ [$€-C0A]_-;_-@_-"/>
    <numFmt numFmtId="166" formatCode="_-* #,##0\ &quot;€&quot;_-;\-* #,##0\ &quot;€&quot;_-;_-* &quot;-&quot;??\ &quot;€&quot;_-;_-@_-"/>
    <numFmt numFmtId="167" formatCode="_-* #,##0.00\ &quot;pta&quot;_-;\-* #,##0.00\ &quot;pta&quot;_-;_-* &quot;-&quot;??\ &quot;pta&quot;_-;_-@_-"/>
    <numFmt numFmtId="168" formatCode="_-* #,##0.00\ [$€-1]_-;\-* #,##0.00\ [$€-1]_-;_-* &quot;-&quot;??\ [$€-1]_-"/>
    <numFmt numFmtId="169" formatCode="#,##0.00\ &quot;€&quot;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vertAlign val="superscript"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0"/>
      <name val="Bodoni MT Black"/>
      <family val="1"/>
    </font>
    <font>
      <sz val="11"/>
      <color theme="0"/>
      <name val="Arial"/>
      <family val="2"/>
    </font>
    <font>
      <vertAlign val="superscript"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b/>
      <u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1"/>
      <color rgb="FF333399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b/>
      <sz val="11"/>
      <color rgb="FFFF0000"/>
      <name val="Comic Sans MS"/>
      <family val="4"/>
    </font>
    <font>
      <b/>
      <sz val="11"/>
      <color theme="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26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</fills>
  <borders count="1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/>
    <xf numFmtId="167" fontId="37" fillId="0" borderId="0" applyFont="0" applyFill="0" applyBorder="0" applyAlignment="0" applyProtection="0"/>
    <xf numFmtId="0" fontId="38" fillId="0" borderId="0"/>
    <xf numFmtId="168" fontId="37" fillId="0" borderId="0" applyFont="0" applyFill="0" applyBorder="0" applyAlignment="0" applyProtection="0"/>
  </cellStyleXfs>
  <cellXfs count="404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9" fontId="2" fillId="0" borderId="4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4" xfId="0" applyFont="1" applyBorder="1"/>
    <xf numFmtId="0" fontId="4" fillId="0" borderId="4" xfId="0" applyFont="1" applyBorder="1"/>
    <xf numFmtId="0" fontId="3" fillId="0" borderId="3" xfId="0" applyFont="1" applyBorder="1"/>
    <xf numFmtId="0" fontId="4" fillId="0" borderId="3" xfId="0" applyFont="1" applyBorder="1"/>
    <xf numFmtId="0" fontId="3" fillId="0" borderId="5" xfId="0" applyFont="1" applyBorder="1"/>
    <xf numFmtId="0" fontId="3" fillId="0" borderId="0" xfId="0" applyFont="1"/>
    <xf numFmtId="9" fontId="3" fillId="0" borderId="4" xfId="0" applyNumberFormat="1" applyFont="1" applyBorder="1" applyAlignment="1">
      <alignment horizontal="right"/>
    </xf>
    <xf numFmtId="6" fontId="0" fillId="0" borderId="0" xfId="0" applyNumberFormat="1"/>
    <xf numFmtId="6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5" fontId="2" fillId="0" borderId="4" xfId="0" applyNumberFormat="1" applyFont="1" applyBorder="1"/>
    <xf numFmtId="165" fontId="2" fillId="0" borderId="4" xfId="0" applyNumberFormat="1" applyFont="1" applyBorder="1" applyAlignment="1">
      <alignment horizontal="right"/>
    </xf>
    <xf numFmtId="44" fontId="2" fillId="0" borderId="4" xfId="1" applyFont="1" applyBorder="1" applyAlignment="1">
      <alignment horizontal="right"/>
    </xf>
    <xf numFmtId="0" fontId="10" fillId="0" borderId="0" xfId="0" applyFont="1"/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2" fillId="4" borderId="38" xfId="0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0" fontId="2" fillId="4" borderId="4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0" fontId="2" fillId="4" borderId="43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20" fontId="0" fillId="4" borderId="29" xfId="0" applyNumberFormat="1" applyFill="1" applyBorder="1"/>
    <xf numFmtId="20" fontId="0" fillId="4" borderId="24" xfId="0" applyNumberFormat="1" applyFill="1" applyBorder="1" applyAlignment="1">
      <alignment horizontal="left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2" fillId="5" borderId="46" xfId="0" applyFont="1" applyFill="1" applyBorder="1" applyAlignment="1">
      <alignment horizontal="right" vertical="center"/>
    </xf>
    <xf numFmtId="0" fontId="2" fillId="5" borderId="47" xfId="0" applyFont="1" applyFill="1" applyBorder="1" applyAlignment="1">
      <alignment horizontal="right" vertical="center"/>
    </xf>
    <xf numFmtId="0" fontId="2" fillId="5" borderId="48" xfId="0" applyFont="1" applyFill="1" applyBorder="1" applyAlignment="1">
      <alignment horizontal="right" vertical="center"/>
    </xf>
    <xf numFmtId="0" fontId="16" fillId="7" borderId="35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0" fontId="16" fillId="7" borderId="37" xfId="0" applyFont="1" applyFill="1" applyBorder="1" applyAlignment="1">
      <alignment horizontal="center" vertical="center" wrapText="1"/>
    </xf>
    <xf numFmtId="0" fontId="16" fillId="7" borderId="46" xfId="0" applyFont="1" applyFill="1" applyBorder="1" applyAlignment="1">
      <alignment horizontal="center" vertical="center"/>
    </xf>
    <xf numFmtId="0" fontId="16" fillId="7" borderId="4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vertical="center"/>
    </xf>
    <xf numFmtId="0" fontId="2" fillId="9" borderId="53" xfId="0" applyFont="1" applyFill="1" applyBorder="1" applyAlignment="1">
      <alignment vertical="center"/>
    </xf>
    <xf numFmtId="0" fontId="2" fillId="9" borderId="54" xfId="0" applyFont="1" applyFill="1" applyBorder="1" applyAlignment="1">
      <alignment vertical="center"/>
    </xf>
    <xf numFmtId="0" fontId="0" fillId="6" borderId="0" xfId="0" applyFill="1"/>
    <xf numFmtId="0" fontId="2" fillId="6" borderId="4" xfId="0" applyFont="1" applyFill="1" applyBorder="1" applyAlignment="1">
      <alignment vertical="center"/>
    </xf>
    <xf numFmtId="0" fontId="12" fillId="11" borderId="0" xfId="0" applyFont="1" applyFill="1"/>
    <xf numFmtId="0" fontId="12" fillId="11" borderId="31" xfId="0" applyFont="1" applyFill="1" applyBorder="1"/>
    <xf numFmtId="0" fontId="0" fillId="11" borderId="31" xfId="0" applyFill="1" applyBorder="1" applyAlignment="1">
      <alignment horizontal="center"/>
    </xf>
    <xf numFmtId="0" fontId="0" fillId="11" borderId="31" xfId="0" applyFill="1" applyBorder="1"/>
    <xf numFmtId="0" fontId="0" fillId="10" borderId="31" xfId="0" applyFill="1" applyBorder="1" applyAlignment="1">
      <alignment horizontal="center"/>
    </xf>
    <xf numFmtId="0" fontId="2" fillId="2" borderId="1" xfId="0" applyFont="1" applyFill="1" applyBorder="1"/>
    <xf numFmtId="44" fontId="2" fillId="0" borderId="31" xfId="1" applyFont="1" applyBorder="1"/>
    <xf numFmtId="44" fontId="2" fillId="0" borderId="44" xfId="1" applyFont="1" applyBorder="1"/>
    <xf numFmtId="44" fontId="2" fillId="0" borderId="33" xfId="1" applyFont="1" applyBorder="1"/>
    <xf numFmtId="0" fontId="2" fillId="2" borderId="36" xfId="0" applyFont="1" applyFill="1" applyBorder="1"/>
    <xf numFmtId="0" fontId="2" fillId="2" borderId="55" xfId="0" applyFont="1" applyFill="1" applyBorder="1"/>
    <xf numFmtId="44" fontId="2" fillId="0" borderId="34" xfId="1" applyFont="1" applyBorder="1" applyAlignment="1">
      <alignment horizontal="center"/>
    </xf>
    <xf numFmtId="44" fontId="2" fillId="0" borderId="32" xfId="1" applyFont="1" applyBorder="1" applyAlignment="1">
      <alignment horizontal="center"/>
    </xf>
    <xf numFmtId="44" fontId="2" fillId="0" borderId="56" xfId="1" applyFont="1" applyBorder="1" applyAlignment="1">
      <alignment horizontal="center"/>
    </xf>
    <xf numFmtId="0" fontId="2" fillId="8" borderId="57" xfId="0" applyFont="1" applyFill="1" applyBorder="1"/>
    <xf numFmtId="0" fontId="2" fillId="8" borderId="26" xfId="0" applyFont="1" applyFill="1" applyBorder="1"/>
    <xf numFmtId="0" fontId="2" fillId="8" borderId="27" xfId="0" applyFont="1" applyFill="1" applyBorder="1"/>
    <xf numFmtId="0" fontId="2" fillId="2" borderId="58" xfId="0" applyFont="1" applyFill="1" applyBorder="1"/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4" fontId="2" fillId="0" borderId="57" xfId="1" applyFont="1" applyBorder="1"/>
    <xf numFmtId="44" fontId="2" fillId="0" borderId="26" xfId="1" applyFont="1" applyBorder="1"/>
    <xf numFmtId="44" fontId="2" fillId="0" borderId="27" xfId="1" applyFont="1" applyBorder="1"/>
    <xf numFmtId="9" fontId="2" fillId="0" borderId="31" xfId="2" applyFont="1" applyBorder="1"/>
    <xf numFmtId="9" fontId="2" fillId="0" borderId="44" xfId="2" applyFont="1" applyBorder="1"/>
    <xf numFmtId="9" fontId="2" fillId="0" borderId="33" xfId="2" applyFont="1" applyBorder="1"/>
    <xf numFmtId="0" fontId="0" fillId="0" borderId="5" xfId="0" applyBorder="1"/>
    <xf numFmtId="0" fontId="20" fillId="0" borderId="3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1" fillId="12" borderId="65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6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0" fontId="21" fillId="12" borderId="70" xfId="0" applyFont="1" applyFill="1" applyBorder="1" applyAlignment="1">
      <alignment horizontal="center" vertical="center"/>
    </xf>
    <xf numFmtId="8" fontId="20" fillId="0" borderId="4" xfId="0" applyNumberFormat="1" applyFont="1" applyBorder="1" applyAlignment="1">
      <alignment horizontal="right" vertical="center"/>
    </xf>
    <xf numFmtId="8" fontId="20" fillId="0" borderId="6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12" borderId="70" xfId="0" applyFont="1" applyFill="1" applyBorder="1" applyAlignment="1">
      <alignment horizontal="center" vertical="center" wrapText="1"/>
    </xf>
    <xf numFmtId="0" fontId="21" fillId="12" borderId="17" xfId="0" applyFont="1" applyFill="1" applyBorder="1" applyAlignment="1">
      <alignment horizontal="center" vertical="center" wrapText="1"/>
    </xf>
    <xf numFmtId="44" fontId="20" fillId="0" borderId="19" xfId="1" applyFont="1" applyBorder="1" applyAlignment="1">
      <alignment vertical="center"/>
    </xf>
    <xf numFmtId="44" fontId="20" fillId="0" borderId="2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81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2" fillId="14" borderId="78" xfId="0" applyFont="1" applyFill="1" applyBorder="1" applyAlignment="1">
      <alignment vertical="center"/>
    </xf>
    <xf numFmtId="0" fontId="23" fillId="14" borderId="79" xfId="0" applyFont="1" applyFill="1" applyBorder="1" applyAlignment="1">
      <alignment horizontal="center" vertical="center" wrapText="1"/>
    </xf>
    <xf numFmtId="0" fontId="23" fillId="14" borderId="79" xfId="0" applyFont="1" applyFill="1" applyBorder="1" applyAlignment="1">
      <alignment horizontal="center" vertical="center"/>
    </xf>
    <xf numFmtId="0" fontId="23" fillId="14" borderId="80" xfId="0" applyFont="1" applyFill="1" applyBorder="1" applyAlignment="1">
      <alignment horizontal="center" vertical="center"/>
    </xf>
    <xf numFmtId="0" fontId="3" fillId="0" borderId="83" xfId="0" applyFont="1" applyBorder="1" applyAlignment="1">
      <alignment vertical="center"/>
    </xf>
    <xf numFmtId="0" fontId="3" fillId="0" borderId="86" xfId="0" applyFont="1" applyBorder="1" applyAlignment="1">
      <alignment horizontal="right" vertical="center"/>
    </xf>
    <xf numFmtId="0" fontId="3" fillId="0" borderId="89" xfId="0" applyFont="1" applyBorder="1" applyAlignment="1">
      <alignment horizontal="right" vertical="center"/>
    </xf>
    <xf numFmtId="0" fontId="3" fillId="0" borderId="92" xfId="0" applyFont="1" applyBorder="1" applyAlignment="1">
      <alignment horizontal="right" vertical="center"/>
    </xf>
    <xf numFmtId="6" fontId="3" fillId="0" borderId="95" xfId="0" applyNumberFormat="1" applyFont="1" applyBorder="1" applyAlignment="1">
      <alignment horizontal="right" vertical="center"/>
    </xf>
    <xf numFmtId="9" fontId="3" fillId="0" borderId="90" xfId="0" applyNumberFormat="1" applyFont="1" applyBorder="1" applyAlignment="1">
      <alignment horizontal="right" vertical="center"/>
    </xf>
    <xf numFmtId="9" fontId="3" fillId="0" borderId="93" xfId="0" applyNumberFormat="1" applyFont="1" applyBorder="1" applyAlignment="1">
      <alignment horizontal="right" vertical="center"/>
    </xf>
    <xf numFmtId="0" fontId="4" fillId="15" borderId="85" xfId="0" applyFont="1" applyFill="1" applyBorder="1" applyAlignment="1">
      <alignment vertical="center"/>
    </xf>
    <xf numFmtId="0" fontId="4" fillId="15" borderId="88" xfId="0" applyFont="1" applyFill="1" applyBorder="1" applyAlignment="1">
      <alignment vertical="center"/>
    </xf>
    <xf numFmtId="0" fontId="4" fillId="15" borderId="91" xfId="0" applyFont="1" applyFill="1" applyBorder="1" applyAlignment="1">
      <alignment vertical="center"/>
    </xf>
    <xf numFmtId="0" fontId="4" fillId="15" borderId="94" xfId="0" applyFont="1" applyFill="1" applyBorder="1" applyAlignment="1">
      <alignment vertical="center"/>
    </xf>
    <xf numFmtId="0" fontId="23" fillId="14" borderId="82" xfId="0" applyFont="1" applyFill="1" applyBorder="1" applyAlignment="1">
      <alignment horizontal="right" vertical="center"/>
    </xf>
    <xf numFmtId="44" fontId="2" fillId="0" borderId="86" xfId="1" applyFont="1" applyBorder="1" applyAlignment="1">
      <alignment horizontal="right" vertical="center"/>
    </xf>
    <xf numFmtId="44" fontId="2" fillId="0" borderId="87" xfId="1" applyFont="1" applyBorder="1" applyAlignment="1">
      <alignment horizontal="right" vertical="center"/>
    </xf>
    <xf numFmtId="44" fontId="2" fillId="0" borderId="89" xfId="1" applyFont="1" applyBorder="1" applyAlignment="1">
      <alignment horizontal="right" vertical="center"/>
    </xf>
    <xf numFmtId="44" fontId="2" fillId="0" borderId="90" xfId="1" applyFont="1" applyBorder="1" applyAlignment="1">
      <alignment horizontal="right" vertical="center"/>
    </xf>
    <xf numFmtId="44" fontId="2" fillId="0" borderId="92" xfId="1" applyFont="1" applyBorder="1" applyAlignment="1">
      <alignment horizontal="right" vertical="center"/>
    </xf>
    <xf numFmtId="44" fontId="2" fillId="0" borderId="93" xfId="1" applyFont="1" applyBorder="1" applyAlignment="1">
      <alignment horizontal="right" vertical="center"/>
    </xf>
    <xf numFmtId="44" fontId="2" fillId="0" borderId="83" xfId="1" applyFont="1" applyBorder="1" applyAlignment="1">
      <alignment horizontal="right" vertical="center"/>
    </xf>
    <xf numFmtId="44" fontId="2" fillId="0" borderId="84" xfId="1" applyFont="1" applyBorder="1" applyAlignment="1">
      <alignment horizontal="right" vertical="center"/>
    </xf>
    <xf numFmtId="44" fontId="3" fillId="0" borderId="4" xfId="1" applyFont="1" applyBorder="1"/>
    <xf numFmtId="0" fontId="11" fillId="0" borderId="99" xfId="0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0" fillId="0" borderId="102" xfId="0" applyFont="1" applyBorder="1"/>
    <xf numFmtId="0" fontId="10" fillId="0" borderId="103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06" xfId="0" applyFont="1" applyBorder="1"/>
    <xf numFmtId="0" fontId="10" fillId="0" borderId="107" xfId="0" applyFont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10" fillId="0" borderId="109" xfId="0" applyFont="1" applyBorder="1" applyAlignment="1">
      <alignment horizontal="center"/>
    </xf>
    <xf numFmtId="0" fontId="10" fillId="0" borderId="114" xfId="0" applyFont="1" applyBorder="1"/>
    <xf numFmtId="0" fontId="10" fillId="0" borderId="115" xfId="0" applyFont="1" applyBorder="1" applyAlignment="1">
      <alignment horizontal="center"/>
    </xf>
    <xf numFmtId="0" fontId="10" fillId="0" borderId="116" xfId="0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9" fillId="0" borderId="102" xfId="0" applyFont="1" applyBorder="1" applyAlignment="1">
      <alignment horizontal="right"/>
    </xf>
    <xf numFmtId="0" fontId="9" fillId="0" borderId="106" xfId="0" applyFont="1" applyBorder="1" applyAlignment="1">
      <alignment horizontal="right"/>
    </xf>
    <xf numFmtId="0" fontId="9" fillId="0" borderId="110" xfId="0" applyFont="1" applyBorder="1" applyAlignment="1">
      <alignment horizontal="right"/>
    </xf>
    <xf numFmtId="0" fontId="9" fillId="0" borderId="101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0" fillId="0" borderId="112" xfId="0" applyFont="1" applyBorder="1" applyAlignment="1">
      <alignment horizontal="center"/>
    </xf>
    <xf numFmtId="0" fontId="10" fillId="0" borderId="113" xfId="0" applyFont="1" applyBorder="1" applyAlignment="1">
      <alignment horizontal="center"/>
    </xf>
    <xf numFmtId="0" fontId="10" fillId="0" borderId="118" xfId="0" applyFont="1" applyBorder="1" applyAlignment="1">
      <alignment horizontal="center"/>
    </xf>
    <xf numFmtId="0" fontId="10" fillId="16" borderId="96" xfId="0" applyFont="1" applyFill="1" applyBorder="1" applyAlignment="1">
      <alignment horizontal="center"/>
    </xf>
    <xf numFmtId="0" fontId="10" fillId="0" borderId="119" xfId="0" applyFont="1" applyBorder="1" applyAlignment="1">
      <alignment horizontal="center"/>
    </xf>
    <xf numFmtId="0" fontId="10" fillId="0" borderId="120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120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2" fontId="5" fillId="0" borderId="131" xfId="0" applyNumberFormat="1" applyFont="1" applyBorder="1" applyAlignment="1">
      <alignment horizontal="center"/>
    </xf>
    <xf numFmtId="2" fontId="5" fillId="0" borderId="104" xfId="0" applyNumberFormat="1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2" fontId="5" fillId="0" borderId="128" xfId="0" applyNumberFormat="1" applyFont="1" applyBorder="1" applyAlignment="1">
      <alignment horizontal="center"/>
    </xf>
    <xf numFmtId="2" fontId="5" fillId="0" borderId="108" xfId="0" applyNumberFormat="1" applyFont="1" applyBorder="1" applyAlignment="1">
      <alignment horizontal="center"/>
    </xf>
    <xf numFmtId="0" fontId="7" fillId="0" borderId="110" xfId="0" applyFont="1" applyBorder="1" applyAlignment="1">
      <alignment horizontal="center"/>
    </xf>
    <xf numFmtId="2" fontId="5" fillId="0" borderId="129" xfId="0" applyNumberFormat="1" applyFont="1" applyBorder="1" applyAlignment="1">
      <alignment horizontal="center"/>
    </xf>
    <xf numFmtId="2" fontId="5" fillId="0" borderId="112" xfId="0" applyNumberFormat="1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19" fillId="0" borderId="132" xfId="0" applyFont="1" applyBorder="1" applyAlignment="1">
      <alignment horizontal="right"/>
    </xf>
    <xf numFmtId="0" fontId="0" fillId="0" borderId="135" xfId="0" applyBorder="1" applyAlignment="1">
      <alignment horizontal="center"/>
    </xf>
    <xf numFmtId="0" fontId="18" fillId="16" borderId="134" xfId="0" applyFont="1" applyFill="1" applyBorder="1" applyAlignment="1">
      <alignment horizontal="center"/>
    </xf>
    <xf numFmtId="0" fontId="19" fillId="0" borderId="136" xfId="0" applyFont="1" applyBorder="1" applyAlignment="1">
      <alignment horizontal="right"/>
    </xf>
    <xf numFmtId="0" fontId="0" fillId="0" borderId="136" xfId="0" applyBorder="1" applyAlignment="1">
      <alignment horizontal="center"/>
    </xf>
    <xf numFmtId="0" fontId="19" fillId="0" borderId="137" xfId="0" applyFont="1" applyBorder="1" applyAlignment="1">
      <alignment horizontal="right"/>
    </xf>
    <xf numFmtId="0" fontId="0" fillId="0" borderId="135" xfId="0" applyBorder="1" applyAlignment="1">
      <alignment horizontal="left"/>
    </xf>
    <xf numFmtId="0" fontId="0" fillId="0" borderId="132" xfId="0" applyBorder="1" applyAlignment="1">
      <alignment horizontal="left"/>
    </xf>
    <xf numFmtId="0" fontId="0" fillId="0" borderId="133" xfId="0" applyBorder="1" applyAlignment="1">
      <alignment horizontal="left"/>
    </xf>
    <xf numFmtId="2" fontId="0" fillId="0" borderId="137" xfId="0" applyNumberFormat="1" applyBorder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right" vertical="center" wrapText="1"/>
    </xf>
    <xf numFmtId="0" fontId="25" fillId="0" borderId="139" xfId="0" applyFont="1" applyBorder="1" applyAlignment="1">
      <alignment vertical="center" wrapText="1"/>
    </xf>
    <xf numFmtId="0" fontId="16" fillId="14" borderId="139" xfId="0" applyFont="1" applyFill="1" applyBorder="1" applyAlignment="1">
      <alignment horizontal="right" vertical="center" wrapText="1"/>
    </xf>
    <xf numFmtId="0" fontId="26" fillId="14" borderId="140" xfId="0" applyFont="1" applyFill="1" applyBorder="1" applyAlignment="1">
      <alignment vertical="center" wrapText="1"/>
    </xf>
    <xf numFmtId="0" fontId="26" fillId="14" borderId="141" xfId="0" applyFont="1" applyFill="1" applyBorder="1" applyAlignment="1">
      <alignment vertical="center" wrapText="1"/>
    </xf>
    <xf numFmtId="0" fontId="26" fillId="14" borderId="142" xfId="0" applyFont="1" applyFill="1" applyBorder="1" applyAlignment="1">
      <alignment vertical="center" wrapText="1"/>
    </xf>
    <xf numFmtId="0" fontId="26" fillId="14" borderId="139" xfId="0" applyFont="1" applyFill="1" applyBorder="1" applyAlignment="1">
      <alignment horizontal="center" vertical="center" wrapText="1"/>
    </xf>
    <xf numFmtId="0" fontId="25" fillId="0" borderId="143" xfId="0" applyFont="1" applyBorder="1" applyAlignment="1">
      <alignment vertical="center" wrapText="1"/>
    </xf>
    <xf numFmtId="0" fontId="25" fillId="0" borderId="147" xfId="0" applyFont="1" applyBorder="1" applyAlignment="1">
      <alignment vertical="center" wrapText="1"/>
    </xf>
    <xf numFmtId="0" fontId="25" fillId="0" borderId="148" xfId="0" applyFont="1" applyBorder="1" applyAlignment="1">
      <alignment vertical="center" wrapText="1"/>
    </xf>
    <xf numFmtId="166" fontId="20" fillId="0" borderId="144" xfId="1" applyNumberFormat="1" applyFont="1" applyBorder="1" applyAlignment="1">
      <alignment horizontal="right" vertical="center" wrapText="1"/>
    </xf>
    <xf numFmtId="166" fontId="20" fillId="0" borderId="145" xfId="1" applyNumberFormat="1" applyFont="1" applyBorder="1" applyAlignment="1">
      <alignment horizontal="right" vertical="center" wrapText="1"/>
    </xf>
    <xf numFmtId="166" fontId="20" fillId="0" borderId="146" xfId="1" applyNumberFormat="1" applyFont="1" applyBorder="1" applyAlignment="1">
      <alignment horizontal="right" vertical="center" wrapText="1"/>
    </xf>
    <xf numFmtId="166" fontId="20" fillId="0" borderId="24" xfId="1" applyNumberFormat="1" applyFont="1" applyBorder="1" applyAlignment="1">
      <alignment horizontal="right" vertical="center" wrapText="1"/>
    </xf>
    <xf numFmtId="166" fontId="20" fillId="0" borderId="26" xfId="1" applyNumberFormat="1" applyFont="1" applyBorder="1" applyAlignment="1">
      <alignment horizontal="right" vertical="center" wrapText="1"/>
    </xf>
    <xf numFmtId="166" fontId="20" fillId="0" borderId="29" xfId="1" applyNumberFormat="1" applyFont="1" applyBorder="1" applyAlignment="1">
      <alignment horizontal="right" vertical="center" wrapText="1"/>
    </xf>
    <xf numFmtId="166" fontId="20" fillId="0" borderId="149" xfId="1" applyNumberFormat="1" applyFont="1" applyBorder="1" applyAlignment="1">
      <alignment horizontal="right" vertical="center" wrapText="1"/>
    </xf>
    <xf numFmtId="166" fontId="20" fillId="0" borderId="150" xfId="1" applyNumberFormat="1" applyFont="1" applyBorder="1" applyAlignment="1">
      <alignment horizontal="right" vertical="center" wrapText="1"/>
    </xf>
    <xf numFmtId="166" fontId="20" fillId="0" borderId="151" xfId="1" applyNumberFormat="1" applyFont="1" applyBorder="1" applyAlignment="1">
      <alignment horizontal="right" vertical="center" wrapText="1"/>
    </xf>
    <xf numFmtId="166" fontId="20" fillId="0" borderId="147" xfId="1" applyNumberFormat="1" applyFont="1" applyBorder="1" applyAlignment="1">
      <alignment horizontal="right" vertical="center" wrapText="1"/>
    </xf>
    <xf numFmtId="166" fontId="20" fillId="0" borderId="148" xfId="1" applyNumberFormat="1" applyFont="1" applyBorder="1" applyAlignment="1">
      <alignment horizontal="right" vertical="center" wrapText="1"/>
    </xf>
    <xf numFmtId="166" fontId="20" fillId="0" borderId="143" xfId="1" applyNumberFormat="1" applyFont="1" applyBorder="1" applyAlignment="1">
      <alignment horizontal="right" vertical="top" wrapText="1"/>
    </xf>
    <xf numFmtId="166" fontId="2" fillId="0" borderId="140" xfId="1" applyNumberFormat="1" applyFont="1" applyBorder="1" applyAlignment="1">
      <alignment horizontal="right"/>
    </xf>
    <xf numFmtId="166" fontId="2" fillId="0" borderId="141" xfId="1" applyNumberFormat="1" applyFont="1" applyBorder="1" applyAlignment="1">
      <alignment horizontal="right"/>
    </xf>
    <xf numFmtId="166" fontId="2" fillId="0" borderId="142" xfId="1" applyNumberFormat="1" applyFont="1" applyBorder="1" applyAlignment="1">
      <alignment horizontal="right"/>
    </xf>
    <xf numFmtId="166" fontId="2" fillId="0" borderId="139" xfId="1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25" fillId="0" borderId="3" xfId="0" applyFont="1" applyBorder="1" applyAlignment="1">
      <alignment horizontal="right" vertical="center" wrapText="1"/>
    </xf>
    <xf numFmtId="2" fontId="28" fillId="0" borderId="4" xfId="0" applyNumberFormat="1" applyFont="1" applyBorder="1" applyAlignment="1">
      <alignment vertical="center"/>
    </xf>
    <xf numFmtId="0" fontId="29" fillId="17" borderId="154" xfId="0" applyFont="1" applyFill="1" applyBorder="1" applyAlignment="1">
      <alignment vertical="center"/>
    </xf>
    <xf numFmtId="0" fontId="29" fillId="17" borderId="15" xfId="0" applyFont="1" applyFill="1" applyBorder="1" applyAlignment="1">
      <alignment vertical="center"/>
    </xf>
    <xf numFmtId="0" fontId="29" fillId="17" borderId="97" xfId="0" applyFont="1" applyFill="1" applyBorder="1" applyAlignment="1">
      <alignment vertical="center"/>
    </xf>
    <xf numFmtId="0" fontId="22" fillId="17" borderId="10" xfId="0" applyFont="1" applyFill="1" applyBorder="1" applyAlignment="1">
      <alignment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57" xfId="0" applyBorder="1"/>
    <xf numFmtId="0" fontId="18" fillId="18" borderId="157" xfId="0" applyFont="1" applyFill="1" applyBorder="1"/>
    <xf numFmtId="0" fontId="0" fillId="0" borderId="158" xfId="0" applyBorder="1"/>
    <xf numFmtId="9" fontId="33" fillId="0" borderId="0" xfId="2" applyFont="1"/>
    <xf numFmtId="0" fontId="19" fillId="0" borderId="0" xfId="0" applyFont="1"/>
    <xf numFmtId="0" fontId="19" fillId="0" borderId="5" xfId="0" applyFont="1" applyBorder="1" applyAlignment="1">
      <alignment horizontal="right"/>
    </xf>
    <xf numFmtId="0" fontId="35" fillId="21" borderId="38" xfId="0" applyFont="1" applyFill="1" applyBorder="1" applyAlignment="1">
      <alignment horizontal="left"/>
    </xf>
    <xf numFmtId="0" fontId="36" fillId="21" borderId="39" xfId="0" applyFont="1" applyFill="1" applyBorder="1" applyAlignment="1">
      <alignment horizontal="left"/>
    </xf>
    <xf numFmtId="0" fontId="36" fillId="21" borderId="39" xfId="0" applyFont="1" applyFill="1" applyBorder="1"/>
    <xf numFmtId="0" fontId="36" fillId="21" borderId="40" xfId="0" applyFont="1" applyFill="1" applyBorder="1"/>
    <xf numFmtId="0" fontId="0" fillId="0" borderId="41" xfId="0" applyBorder="1"/>
    <xf numFmtId="0" fontId="0" fillId="0" borderId="31" xfId="0" applyBorder="1"/>
    <xf numFmtId="44" fontId="0" fillId="0" borderId="31" xfId="1" applyFont="1" applyBorder="1"/>
    <xf numFmtId="14" fontId="0" fillId="0" borderId="42" xfId="0" applyNumberFormat="1" applyBorder="1"/>
    <xf numFmtId="0" fontId="0" fillId="0" borderId="41" xfId="0" quotePrefix="1" applyBorder="1" applyAlignment="1">
      <alignment horizontal="left"/>
    </xf>
    <xf numFmtId="0" fontId="0" fillId="0" borderId="43" xfId="0" applyBorder="1"/>
    <xf numFmtId="0" fontId="0" fillId="0" borderId="44" xfId="0" applyBorder="1"/>
    <xf numFmtId="44" fontId="0" fillId="0" borderId="44" xfId="1" applyFont="1" applyBorder="1"/>
    <xf numFmtId="14" fontId="0" fillId="0" borderId="45" xfId="0" applyNumberFormat="1" applyBorder="1"/>
    <xf numFmtId="0" fontId="12" fillId="14" borderId="31" xfId="0" applyFont="1" applyFill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31" xfId="3" applyNumberFormat="1" applyFont="1" applyBorder="1"/>
    <xf numFmtId="0" fontId="0" fillId="0" borderId="162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3" xfId="0" applyBorder="1"/>
    <xf numFmtId="44" fontId="0" fillId="0" borderId="163" xfId="1" applyFont="1" applyBorder="1"/>
    <xf numFmtId="0" fontId="0" fillId="0" borderId="164" xfId="0" applyBorder="1" applyAlignment="1">
      <alignment horizontal="right"/>
    </xf>
    <xf numFmtId="0" fontId="0" fillId="0" borderId="165" xfId="0" applyBorder="1" applyAlignment="1">
      <alignment horizontal="right"/>
    </xf>
    <xf numFmtId="0" fontId="0" fillId="0" borderId="166" xfId="0" applyBorder="1" applyAlignment="1">
      <alignment horizontal="center"/>
    </xf>
    <xf numFmtId="0" fontId="0" fillId="15" borderId="159" xfId="0" applyFill="1" applyBorder="1" applyAlignment="1">
      <alignment horizontal="center"/>
    </xf>
    <xf numFmtId="0" fontId="0" fillId="15" borderId="160" xfId="0" applyFill="1" applyBorder="1" applyAlignment="1">
      <alignment horizontal="center" wrapText="1"/>
    </xf>
    <xf numFmtId="0" fontId="0" fillId="15" borderId="160" xfId="0" applyFill="1" applyBorder="1" applyAlignment="1">
      <alignment horizontal="center"/>
    </xf>
    <xf numFmtId="0" fontId="0" fillId="15" borderId="161" xfId="0" applyFill="1" applyBorder="1" applyAlignment="1">
      <alignment horizontal="center" wrapText="1"/>
    </xf>
    <xf numFmtId="44" fontId="0" fillId="0" borderId="126" xfId="1" applyFont="1" applyBorder="1"/>
    <xf numFmtId="44" fontId="0" fillId="0" borderId="33" xfId="1" applyFont="1" applyBorder="1"/>
    <xf numFmtId="44" fontId="0" fillId="0" borderId="125" xfId="1" applyFont="1" applyBorder="1"/>
    <xf numFmtId="0" fontId="0" fillId="15" borderId="31" xfId="0" applyFill="1" applyBorder="1"/>
    <xf numFmtId="0" fontId="0" fillId="0" borderId="180" xfId="0" applyBorder="1"/>
    <xf numFmtId="0" fontId="42" fillId="0" borderId="0" xfId="0" applyFont="1"/>
    <xf numFmtId="0" fontId="41" fillId="20" borderId="167" xfId="0" applyFont="1" applyFill="1" applyBorder="1" applyAlignment="1">
      <alignment horizontal="right"/>
    </xf>
    <xf numFmtId="9" fontId="42" fillId="0" borderId="169" xfId="0" applyNumberFormat="1" applyFont="1" applyBorder="1"/>
    <xf numFmtId="0" fontId="42" fillId="0" borderId="172" xfId="0" applyFont="1" applyBorder="1"/>
    <xf numFmtId="9" fontId="42" fillId="0" borderId="173" xfId="0" applyNumberFormat="1" applyFont="1" applyBorder="1"/>
    <xf numFmtId="0" fontId="42" fillId="0" borderId="174" xfId="0" applyFont="1" applyBorder="1"/>
    <xf numFmtId="9" fontId="42" fillId="0" borderId="175" xfId="0" applyNumberFormat="1" applyFont="1" applyBorder="1"/>
    <xf numFmtId="0" fontId="41" fillId="20" borderId="170" xfId="0" applyFont="1" applyFill="1" applyBorder="1" applyAlignment="1">
      <alignment horizontal="center" vertical="center"/>
    </xf>
    <xf numFmtId="0" fontId="41" fillId="20" borderId="176" xfId="0" applyFont="1" applyFill="1" applyBorder="1" applyAlignment="1">
      <alignment horizontal="center" vertical="center"/>
    </xf>
    <xf numFmtId="0" fontId="42" fillId="2" borderId="172" xfId="0" applyFont="1" applyFill="1" applyBorder="1"/>
    <xf numFmtId="0" fontId="42" fillId="0" borderId="31" xfId="0" applyFont="1" applyBorder="1"/>
    <xf numFmtId="44" fontId="42" fillId="0" borderId="31" xfId="1" applyFont="1" applyBorder="1"/>
    <xf numFmtId="0" fontId="42" fillId="2" borderId="174" xfId="0" applyFont="1" applyFill="1" applyBorder="1"/>
    <xf numFmtId="0" fontId="42" fillId="0" borderId="177" xfId="0" applyFont="1" applyBorder="1"/>
    <xf numFmtId="44" fontId="42" fillId="0" borderId="177" xfId="1" applyFont="1" applyBorder="1"/>
    <xf numFmtId="0" fontId="41" fillId="20" borderId="170" xfId="0" applyFont="1" applyFill="1" applyBorder="1" applyAlignment="1">
      <alignment horizontal="right"/>
    </xf>
    <xf numFmtId="44" fontId="42" fillId="0" borderId="171" xfId="0" applyNumberFormat="1" applyFont="1" applyBorder="1"/>
    <xf numFmtId="0" fontId="42" fillId="0" borderId="171" xfId="0" applyFont="1" applyBorder="1" applyAlignment="1">
      <alignment horizontal="right"/>
    </xf>
    <xf numFmtId="0" fontId="41" fillId="20" borderId="174" xfId="0" applyFont="1" applyFill="1" applyBorder="1" applyAlignment="1">
      <alignment horizontal="right"/>
    </xf>
    <xf numFmtId="44" fontId="42" fillId="0" borderId="175" xfId="0" applyNumberFormat="1" applyFont="1" applyBorder="1"/>
    <xf numFmtId="44" fontId="42" fillId="0" borderId="175" xfId="0" applyNumberFormat="1" applyFont="1" applyBorder="1" applyAlignment="1">
      <alignment horizontal="right"/>
    </xf>
    <xf numFmtId="0" fontId="41" fillId="20" borderId="167" xfId="0" applyFont="1" applyFill="1" applyBorder="1" applyAlignment="1">
      <alignment horizontal="center"/>
    </xf>
    <xf numFmtId="0" fontId="41" fillId="20" borderId="168" xfId="0" applyFont="1" applyFill="1" applyBorder="1" applyAlignment="1">
      <alignment horizontal="center"/>
    </xf>
    <xf numFmtId="0" fontId="41" fillId="20" borderId="169" xfId="0" applyFont="1" applyFill="1" applyBorder="1" applyAlignment="1">
      <alignment horizontal="center"/>
    </xf>
    <xf numFmtId="0" fontId="42" fillId="0" borderId="178" xfId="0" applyFont="1" applyBorder="1"/>
    <xf numFmtId="0" fontId="42" fillId="0" borderId="33" xfId="0" applyFont="1" applyBorder="1"/>
    <xf numFmtId="44" fontId="42" fillId="0" borderId="179" xfId="1" applyFont="1" applyBorder="1"/>
    <xf numFmtId="44" fontId="42" fillId="0" borderId="173" xfId="1" applyFont="1" applyBorder="1"/>
    <xf numFmtId="44" fontId="42" fillId="0" borderId="175" xfId="1" applyFont="1" applyBorder="1"/>
    <xf numFmtId="0" fontId="41" fillId="20" borderId="171" xfId="0" applyFont="1" applyFill="1" applyBorder="1" applyAlignment="1">
      <alignment horizontal="center" vertical="center"/>
    </xf>
    <xf numFmtId="44" fontId="42" fillId="0" borderId="173" xfId="0" applyNumberFormat="1" applyFont="1" applyBorder="1"/>
    <xf numFmtId="0" fontId="19" fillId="15" borderId="170" xfId="0" applyFont="1" applyFill="1" applyBorder="1" applyAlignment="1">
      <alignment horizontal="center"/>
    </xf>
    <xf numFmtId="0" fontId="19" fillId="15" borderId="172" xfId="0" applyFont="1" applyFill="1" applyBorder="1" applyAlignment="1">
      <alignment horizontal="center"/>
    </xf>
    <xf numFmtId="0" fontId="19" fillId="15" borderId="174" xfId="0" applyFont="1" applyFill="1" applyBorder="1" applyAlignment="1">
      <alignment horizontal="center"/>
    </xf>
    <xf numFmtId="0" fontId="19" fillId="15" borderId="167" xfId="0" applyFont="1" applyFill="1" applyBorder="1" applyAlignment="1">
      <alignment horizontal="center"/>
    </xf>
    <xf numFmtId="0" fontId="19" fillId="15" borderId="168" xfId="0" applyFont="1" applyFill="1" applyBorder="1" applyAlignment="1">
      <alignment horizontal="center"/>
    </xf>
    <xf numFmtId="0" fontId="19" fillId="15" borderId="169" xfId="0" applyFont="1" applyFill="1" applyBorder="1" applyAlignment="1">
      <alignment horizontal="center"/>
    </xf>
    <xf numFmtId="0" fontId="0" fillId="0" borderId="176" xfId="0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173" xfId="0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175" xfId="0" applyBorder="1" applyAlignment="1">
      <alignment horizontal="center"/>
    </xf>
    <xf numFmtId="169" fontId="0" fillId="0" borderId="33" xfId="1" applyNumberFormat="1" applyFont="1" applyBorder="1" applyAlignment="1">
      <alignment horizontal="right"/>
    </xf>
    <xf numFmtId="169" fontId="0" fillId="0" borderId="31" xfId="1" applyNumberFormat="1" applyFont="1" applyBorder="1" applyAlignment="1">
      <alignment horizontal="right"/>
    </xf>
    <xf numFmtId="169" fontId="0" fillId="0" borderId="180" xfId="1" applyNumberFormat="1" applyFont="1" applyBorder="1" applyAlignment="1">
      <alignment horizontal="right"/>
    </xf>
    <xf numFmtId="169" fontId="0" fillId="0" borderId="179" xfId="0" applyNumberFormat="1" applyBorder="1" applyAlignment="1">
      <alignment horizontal="right"/>
    </xf>
    <xf numFmtId="169" fontId="0" fillId="0" borderId="176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69" fontId="0" fillId="0" borderId="177" xfId="0" applyNumberFormat="1" applyBorder="1" applyAlignment="1">
      <alignment horizontal="center"/>
    </xf>
    <xf numFmtId="169" fontId="0" fillId="0" borderId="31" xfId="0" applyNumberFormat="1" applyBorder="1"/>
    <xf numFmtId="9" fontId="20" fillId="0" borderId="19" xfId="0" applyNumberFormat="1" applyFont="1" applyBorder="1" applyAlignment="1" applyProtection="1">
      <alignment vertical="center"/>
      <protection locked="0"/>
    </xf>
    <xf numFmtId="44" fontId="20" fillId="0" borderId="72" xfId="0" applyNumberFormat="1" applyFont="1" applyBorder="1" applyAlignment="1">
      <alignment vertical="center"/>
    </xf>
    <xf numFmtId="44" fontId="20" fillId="0" borderId="19" xfId="0" applyNumberFormat="1" applyFont="1" applyBorder="1" applyAlignment="1">
      <alignment vertical="center"/>
    </xf>
    <xf numFmtId="0" fontId="20" fillId="0" borderId="19" xfId="0" applyFont="1" applyBorder="1" applyAlignment="1">
      <alignment horizontal="right" vertical="center"/>
    </xf>
    <xf numFmtId="44" fontId="20" fillId="13" borderId="18" xfId="0" applyNumberFormat="1" applyFont="1" applyFill="1" applyBorder="1" applyAlignment="1">
      <alignment vertical="center"/>
    </xf>
    <xf numFmtId="44" fontId="42" fillId="0" borderId="182" xfId="0" applyNumberFormat="1" applyFont="1" applyBorder="1"/>
    <xf numFmtId="0" fontId="14" fillId="3" borderId="0" xfId="0" applyFont="1" applyFill="1" applyAlignment="1">
      <alignment horizontal="center"/>
    </xf>
    <xf numFmtId="14" fontId="0" fillId="4" borderId="28" xfId="0" applyNumberFormat="1" applyFill="1" applyBorder="1" applyAlignment="1">
      <alignment horizontal="center" vertical="center"/>
    </xf>
    <xf numFmtId="14" fontId="0" fillId="4" borderId="23" xfId="0" applyNumberFormat="1" applyFill="1" applyBorder="1" applyAlignment="1">
      <alignment horizontal="center" vertical="center"/>
    </xf>
    <xf numFmtId="14" fontId="0" fillId="4" borderId="29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0" fontId="0" fillId="4" borderId="30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5" borderId="47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20" fillId="0" borderId="76" xfId="0" applyFont="1" applyBorder="1" applyAlignment="1" applyProtection="1">
      <alignment horizontal="right" vertical="center"/>
      <protection locked="0"/>
    </xf>
    <xf numFmtId="0" fontId="20" fillId="0" borderId="77" xfId="0" applyFont="1" applyBorder="1" applyAlignment="1" applyProtection="1">
      <alignment horizontal="right" vertical="center"/>
      <protection locked="0"/>
    </xf>
    <xf numFmtId="0" fontId="20" fillId="0" borderId="74" xfId="0" applyFont="1" applyBorder="1" applyAlignment="1" applyProtection="1">
      <alignment horizontal="right" vertical="center"/>
      <protection locked="0"/>
    </xf>
    <xf numFmtId="0" fontId="20" fillId="0" borderId="71" xfId="0" applyFont="1" applyBorder="1" applyAlignment="1" applyProtection="1">
      <alignment horizontal="right" vertical="center"/>
      <protection locked="0"/>
    </xf>
    <xf numFmtId="0" fontId="20" fillId="0" borderId="75" xfId="0" applyFont="1" applyBorder="1" applyAlignment="1" applyProtection="1">
      <alignment horizontal="right" vertical="center"/>
      <protection locked="0"/>
    </xf>
    <xf numFmtId="0" fontId="20" fillId="0" borderId="7" xfId="0" applyFont="1" applyBorder="1" applyAlignment="1" applyProtection="1">
      <alignment horizontal="right" vertical="center"/>
      <protection locked="0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0" fillId="0" borderId="73" xfId="0" applyBorder="1"/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21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center" wrapText="1"/>
    </xf>
    <xf numFmtId="0" fontId="20" fillId="0" borderId="152" xfId="0" applyFont="1" applyBorder="1" applyAlignment="1">
      <alignment horizontal="right" vertical="center" wrapText="1"/>
    </xf>
    <xf numFmtId="0" fontId="27" fillId="0" borderId="138" xfId="0" applyFont="1" applyBorder="1" applyAlignment="1">
      <alignment horizontal="center" vertical="center" wrapText="1"/>
    </xf>
    <xf numFmtId="0" fontId="27" fillId="0" borderId="153" xfId="0" applyFont="1" applyBorder="1" applyAlignment="1">
      <alignment horizontal="center" vertical="center" wrapText="1"/>
    </xf>
    <xf numFmtId="0" fontId="27" fillId="0" borderId="138" xfId="0" applyFont="1" applyBorder="1" applyAlignment="1">
      <alignment horizontal="center" vertical="center"/>
    </xf>
    <xf numFmtId="0" fontId="27" fillId="0" borderId="153" xfId="0" applyFont="1" applyBorder="1" applyAlignment="1">
      <alignment horizontal="center" vertical="center"/>
    </xf>
    <xf numFmtId="0" fontId="20" fillId="0" borderId="155" xfId="0" applyFont="1" applyBorder="1" applyAlignment="1">
      <alignment horizontal="center" vertical="center"/>
    </xf>
    <xf numFmtId="0" fontId="20" fillId="0" borderId="156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8" fillId="19" borderId="0" xfId="0" applyFont="1" applyFill="1" applyAlignment="1">
      <alignment horizontal="center"/>
    </xf>
    <xf numFmtId="0" fontId="34" fillId="19" borderId="0" xfId="0" applyFont="1" applyFill="1" applyAlignment="1">
      <alignment horizontal="center"/>
    </xf>
    <xf numFmtId="0" fontId="39" fillId="22" borderId="0" xfId="0" applyFont="1" applyFill="1" applyAlignment="1">
      <alignment horizontal="center"/>
    </xf>
    <xf numFmtId="0" fontId="12" fillId="14" borderId="31" xfId="0" applyFont="1" applyFill="1" applyBorder="1" applyAlignment="1">
      <alignment horizontal="center"/>
    </xf>
    <xf numFmtId="0" fontId="41" fillId="20" borderId="167" xfId="0" applyFont="1" applyFill="1" applyBorder="1" applyAlignment="1">
      <alignment horizontal="center" wrapText="1"/>
    </xf>
    <xf numFmtId="0" fontId="41" fillId="20" borderId="168" xfId="0" applyFont="1" applyFill="1" applyBorder="1" applyAlignment="1">
      <alignment horizontal="center"/>
    </xf>
    <xf numFmtId="0" fontId="41" fillId="20" borderId="169" xfId="0" applyFont="1" applyFill="1" applyBorder="1" applyAlignment="1">
      <alignment horizontal="center"/>
    </xf>
    <xf numFmtId="0" fontId="41" fillId="20" borderId="170" xfId="0" applyFont="1" applyFill="1" applyBorder="1" applyAlignment="1">
      <alignment horizontal="center"/>
    </xf>
    <xf numFmtId="0" fontId="41" fillId="20" borderId="171" xfId="0" applyFont="1" applyFill="1" applyBorder="1" applyAlignment="1">
      <alignment horizontal="center"/>
    </xf>
    <xf numFmtId="0" fontId="41" fillId="20" borderId="176" xfId="0" applyFont="1" applyFill="1" applyBorder="1" applyAlignment="1">
      <alignment horizontal="center"/>
    </xf>
    <xf numFmtId="0" fontId="41" fillId="20" borderId="174" xfId="0" applyFont="1" applyFill="1" applyBorder="1" applyAlignment="1">
      <alignment horizontal="center"/>
    </xf>
    <xf numFmtId="0" fontId="41" fillId="20" borderId="177" xfId="0" applyFont="1" applyFill="1" applyBorder="1" applyAlignment="1">
      <alignment horizontal="center"/>
    </xf>
    <xf numFmtId="0" fontId="40" fillId="15" borderId="180" xfId="0" applyFont="1" applyFill="1" applyBorder="1" applyAlignment="1">
      <alignment horizontal="center"/>
    </xf>
    <xf numFmtId="0" fontId="40" fillId="15" borderId="181" xfId="0" applyFont="1" applyFill="1" applyBorder="1" applyAlignment="1">
      <alignment horizontal="center"/>
    </xf>
  </cellXfs>
  <cellStyles count="8">
    <cellStyle name="Euro" xfId="7" xr:uid="{00000000-0005-0000-0000-000000000000}"/>
    <cellStyle name="Millares" xfId="3" builtinId="3"/>
    <cellStyle name="Moneda" xfId="1" builtinId="4"/>
    <cellStyle name="Moneda 2" xfId="5" xr:uid="{00000000-0005-0000-0000-000003000000}"/>
    <cellStyle name="Normal" xfId="0" builtinId="0"/>
    <cellStyle name="Normal 2" xfId="4" xr:uid="{00000000-0005-0000-0000-000005000000}"/>
    <cellStyle name="Normal 3" xfId="6" xr:uid="{00000000-0005-0000-0000-000006000000}"/>
    <cellStyle name="Porcentaje" xfId="2" builtinId="5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8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 patternType="solid">
          <bgColor theme="9" tint="0.79998168889431442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'Ejercicio 13'!$B$10</c:f>
              <c:strCache>
                <c:ptCount val="1"/>
                <c:pt idx="0">
                  <c:v>Cantidad de
huéspedes</c:v>
                </c:pt>
              </c:strCache>
            </c:strRef>
          </c:tx>
          <c:cat>
            <c:strRef>
              <c:f>'Ejercicio 13'!$A$11:$A$17</c:f>
              <c:strCache>
                <c:ptCount val="7"/>
                <c:pt idx="0">
                  <c:v>H502</c:v>
                </c:pt>
                <c:pt idx="1">
                  <c:v>H402</c:v>
                </c:pt>
                <c:pt idx="2">
                  <c:v>H109</c:v>
                </c:pt>
                <c:pt idx="3">
                  <c:v>H206</c:v>
                </c:pt>
                <c:pt idx="4">
                  <c:v>H112</c:v>
                </c:pt>
                <c:pt idx="5">
                  <c:v>H110</c:v>
                </c:pt>
                <c:pt idx="6">
                  <c:v>H421</c:v>
                </c:pt>
              </c:strCache>
            </c:strRef>
          </c:cat>
          <c:val>
            <c:numRef>
              <c:f>'Ejercicio 13'!$B$11:$B$17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B-4D0D-9349-D1558E6D2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'Ejercicio 17'!$E$4</c:f>
              <c:strCache>
                <c:ptCount val="1"/>
                <c:pt idx="0">
                  <c:v>TOTAL VENTAS</c:v>
                </c:pt>
              </c:strCache>
            </c:strRef>
          </c:tx>
          <c:cat>
            <c:strRef>
              <c:f>'Ejercicio 17'!$B$5:$B$10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'Ejercicio 17'!$E$5:$E$10</c:f>
              <c:numCache>
                <c:formatCode>General</c:formatCode>
                <c:ptCount val="6"/>
                <c:pt idx="0">
                  <c:v>140</c:v>
                </c:pt>
                <c:pt idx="1">
                  <c:v>175</c:v>
                </c:pt>
                <c:pt idx="2">
                  <c:v>281</c:v>
                </c:pt>
                <c:pt idx="3">
                  <c:v>147</c:v>
                </c:pt>
                <c:pt idx="4">
                  <c:v>242</c:v>
                </c:pt>
                <c:pt idx="5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1-4904-A481-9A094DA86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'Ejercicio 17'!$C$4</c:f>
              <c:strCache>
                <c:ptCount val="1"/>
                <c:pt idx="0">
                  <c:v>PRODUCTO 1</c:v>
                </c:pt>
              </c:strCache>
            </c:strRef>
          </c:tx>
          <c:marker>
            <c:symbol val="none"/>
          </c:marker>
          <c:cat>
            <c:strRef>
              <c:f>'Ejercicio 17'!$B$5:$B$10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'Ejercicio 17'!$C$5:$C$10</c:f>
              <c:numCache>
                <c:formatCode>General</c:formatCode>
                <c:ptCount val="6"/>
                <c:pt idx="0">
                  <c:v>100</c:v>
                </c:pt>
                <c:pt idx="1">
                  <c:v>150</c:v>
                </c:pt>
                <c:pt idx="2">
                  <c:v>240</c:v>
                </c:pt>
                <c:pt idx="3">
                  <c:v>95</c:v>
                </c:pt>
                <c:pt idx="4">
                  <c:v>75</c:v>
                </c:pt>
                <c:pt idx="5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3-4FF2-9A38-6E357A2F4C96}"/>
            </c:ext>
          </c:extLst>
        </c:ser>
        <c:ser>
          <c:idx val="1"/>
          <c:order val="1"/>
          <c:tx>
            <c:strRef>
              <c:f>'Ejercicio 17'!$D$4</c:f>
              <c:strCache>
                <c:ptCount val="1"/>
                <c:pt idx="0">
                  <c:v>PRODUCTO 2</c:v>
                </c:pt>
              </c:strCache>
            </c:strRef>
          </c:tx>
          <c:marker>
            <c:symbol val="none"/>
          </c:marker>
          <c:cat>
            <c:strRef>
              <c:f>'Ejercicio 17'!$B$5:$B$10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'Ejercicio 17'!$D$5:$D$10</c:f>
              <c:numCache>
                <c:formatCode>General</c:formatCode>
                <c:ptCount val="6"/>
                <c:pt idx="0">
                  <c:v>40</c:v>
                </c:pt>
                <c:pt idx="1">
                  <c:v>25</c:v>
                </c:pt>
                <c:pt idx="2">
                  <c:v>41</c:v>
                </c:pt>
                <c:pt idx="3">
                  <c:v>52</c:v>
                </c:pt>
                <c:pt idx="4">
                  <c:v>167</c:v>
                </c:pt>
                <c:pt idx="5">
                  <c:v>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3-4FF2-9A38-6E357A2F4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09536"/>
        <c:axId val="44611072"/>
      </c:lineChart>
      <c:catAx>
        <c:axId val="44609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611072"/>
        <c:crosses val="autoZero"/>
        <c:auto val="1"/>
        <c:lblAlgn val="ctr"/>
        <c:lblOffset val="100"/>
        <c:noMultiLvlLbl val="0"/>
      </c:catAx>
      <c:valAx>
        <c:axId val="4461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60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'Ejercicio 18'!$B$4</c:f>
              <c:strCache>
                <c:ptCount val="1"/>
                <c:pt idx="0">
                  <c:v>Año 1</c:v>
                </c:pt>
              </c:strCache>
            </c:strRef>
          </c:tx>
          <c:invertIfNegative val="0"/>
          <c:cat>
            <c:strRef>
              <c:f>'Ejercicio 18'!$A$5:$A$8</c:f>
              <c:strCache>
                <c:ptCount val="4"/>
                <c:pt idx="0">
                  <c:v>Producto1</c:v>
                </c:pt>
                <c:pt idx="1">
                  <c:v>Producto2</c:v>
                </c:pt>
                <c:pt idx="2">
                  <c:v>Producto3</c:v>
                </c:pt>
                <c:pt idx="3">
                  <c:v>Producto4</c:v>
                </c:pt>
              </c:strCache>
            </c:strRef>
          </c:cat>
          <c:val>
            <c:numRef>
              <c:f>'Ejercicio 18'!$B$5:$B$8</c:f>
              <c:numCache>
                <c:formatCode>General</c:formatCode>
                <c:ptCount val="4"/>
                <c:pt idx="0">
                  <c:v>150000</c:v>
                </c:pt>
                <c:pt idx="1">
                  <c:v>175000</c:v>
                </c:pt>
                <c:pt idx="2">
                  <c:v>185000</c:v>
                </c:pt>
                <c:pt idx="3">
                  <c:v>145000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7-41B1-8D4A-2F5E363E44F0}"/>
            </c:ext>
          </c:extLst>
        </c:ser>
        <c:ser>
          <c:idx val="1"/>
          <c:order val="1"/>
          <c:tx>
            <c:strRef>
              <c:f>'Ejercicio 18'!$C$4</c:f>
              <c:strCache>
                <c:ptCount val="1"/>
                <c:pt idx="0">
                  <c:v>Año 2</c:v>
                </c:pt>
              </c:strCache>
            </c:strRef>
          </c:tx>
          <c:invertIfNegative val="0"/>
          <c:cat>
            <c:strRef>
              <c:f>'Ejercicio 18'!$A$5:$A$8</c:f>
              <c:strCache>
                <c:ptCount val="4"/>
                <c:pt idx="0">
                  <c:v>Producto1</c:v>
                </c:pt>
                <c:pt idx="1">
                  <c:v>Producto2</c:v>
                </c:pt>
                <c:pt idx="2">
                  <c:v>Producto3</c:v>
                </c:pt>
                <c:pt idx="3">
                  <c:v>Producto4</c:v>
                </c:pt>
              </c:strCache>
            </c:strRef>
          </c:cat>
          <c:val>
            <c:numRef>
              <c:f>'Ejercicio 18'!$C$5:$C$8</c:f>
              <c:numCache>
                <c:formatCode>General</c:formatCode>
                <c:ptCount val="4"/>
                <c:pt idx="0">
                  <c:v>155000</c:v>
                </c:pt>
                <c:pt idx="1">
                  <c:v>170000</c:v>
                </c:pt>
                <c:pt idx="2">
                  <c:v>190000</c:v>
                </c:pt>
                <c:pt idx="3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7-41B1-8D4A-2F5E363E44F0}"/>
            </c:ext>
          </c:extLst>
        </c:ser>
        <c:ser>
          <c:idx val="2"/>
          <c:order val="2"/>
          <c:tx>
            <c:strRef>
              <c:f>'Ejercicio 18'!$D$4</c:f>
              <c:strCache>
                <c:ptCount val="1"/>
                <c:pt idx="0">
                  <c:v>Año 3</c:v>
                </c:pt>
              </c:strCache>
            </c:strRef>
          </c:tx>
          <c:invertIfNegative val="0"/>
          <c:cat>
            <c:strRef>
              <c:f>'Ejercicio 18'!$A$5:$A$8</c:f>
              <c:strCache>
                <c:ptCount val="4"/>
                <c:pt idx="0">
                  <c:v>Producto1</c:v>
                </c:pt>
                <c:pt idx="1">
                  <c:v>Producto2</c:v>
                </c:pt>
                <c:pt idx="2">
                  <c:v>Producto3</c:v>
                </c:pt>
                <c:pt idx="3">
                  <c:v>Producto4</c:v>
                </c:pt>
              </c:strCache>
            </c:strRef>
          </c:cat>
          <c:val>
            <c:numRef>
              <c:f>'Ejercicio 18'!$D$5:$D$8</c:f>
              <c:numCache>
                <c:formatCode>General</c:formatCode>
                <c:ptCount val="4"/>
                <c:pt idx="0">
                  <c:v>160000</c:v>
                </c:pt>
                <c:pt idx="1">
                  <c:v>179000</c:v>
                </c:pt>
                <c:pt idx="2">
                  <c:v>195000</c:v>
                </c:pt>
                <c:pt idx="3">
                  <c:v>205000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7-41B1-8D4A-2F5E363E4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873152"/>
        <c:axId val="61879040"/>
        <c:axId val="61875520"/>
      </c:bar3DChart>
      <c:catAx>
        <c:axId val="6187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1879040"/>
        <c:crosses val="autoZero"/>
        <c:auto val="1"/>
        <c:lblAlgn val="ctr"/>
        <c:lblOffset val="100"/>
        <c:noMultiLvlLbl val="0"/>
      </c:catAx>
      <c:valAx>
        <c:axId val="6187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73152"/>
        <c:crosses val="autoZero"/>
        <c:crossBetween val="between"/>
      </c:valAx>
      <c:serAx>
        <c:axId val="6187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61879040"/>
        <c:crosses val="autoZero"/>
      </c:ser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'Ejercicio 18'!$E$4</c:f>
              <c:strCache>
                <c:ptCount val="1"/>
                <c:pt idx="0">
                  <c:v>Totales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'Ejercicio 18'!$A$5:$A$8</c:f>
              <c:strCache>
                <c:ptCount val="4"/>
                <c:pt idx="0">
                  <c:v>Producto1</c:v>
                </c:pt>
                <c:pt idx="1">
                  <c:v>Producto2</c:v>
                </c:pt>
                <c:pt idx="2">
                  <c:v>Producto3</c:v>
                </c:pt>
                <c:pt idx="3">
                  <c:v>Producto4</c:v>
                </c:pt>
              </c:strCache>
            </c:strRef>
          </c:cat>
          <c:val>
            <c:numRef>
              <c:f>'Ejercicio 18'!$E$5:$E$8</c:f>
              <c:numCache>
                <c:formatCode>General</c:formatCode>
                <c:ptCount val="4"/>
                <c:pt idx="0">
                  <c:v>465000</c:v>
                </c:pt>
                <c:pt idx="1">
                  <c:v>524000</c:v>
                </c:pt>
                <c:pt idx="2">
                  <c:v>570000</c:v>
                </c:pt>
                <c:pt idx="3">
                  <c:v>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D-4ABD-AA17-8A5D0DA26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137"/>
        <c:shape val="cylinder"/>
        <c:axId val="61908864"/>
        <c:axId val="61910400"/>
        <c:axId val="0"/>
      </c:bar3DChart>
      <c:catAx>
        <c:axId val="6190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910400"/>
        <c:crosses val="autoZero"/>
        <c:auto val="1"/>
        <c:lblAlgn val="ctr"/>
        <c:lblOffset val="100"/>
        <c:noMultiLvlLbl val="0"/>
      </c:catAx>
      <c:valAx>
        <c:axId val="6191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908864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Lectura de diarios en Cataluña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explosion val="28"/>
            <c:extLst>
              <c:ext xmlns:c16="http://schemas.microsoft.com/office/drawing/2014/chart" uri="{C3380CC4-5D6E-409C-BE32-E72D297353CC}">
                <c16:uniqueId val="{00000000-EC69-4933-9EEB-AF7633264487}"/>
              </c:ext>
            </c:extLst>
          </c:dPt>
          <c:dLbls>
            <c:dLbl>
              <c:idx val="0"/>
              <c:layout>
                <c:manualLayout>
                  <c:x val="-6.0763451443569552E-2"/>
                  <c:y val="-6.3079979585885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9-4933-9EEB-AF7633264487}"/>
                </c:ext>
              </c:extLst>
            </c:dLbl>
            <c:dLbl>
              <c:idx val="1"/>
              <c:layout>
                <c:manualLayout>
                  <c:x val="-0.15652777777777768"/>
                  <c:y val="0.162794546515018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9-4933-9EEB-AF7633264487}"/>
                </c:ext>
              </c:extLst>
            </c:dLbl>
            <c:dLbl>
              <c:idx val="2"/>
              <c:layout>
                <c:manualLayout>
                  <c:x val="-5.6189851268591429E-3"/>
                  <c:y val="3.43471128608923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9-4933-9EEB-AF7633264487}"/>
                </c:ext>
              </c:extLst>
            </c:dLbl>
            <c:dLbl>
              <c:idx val="3"/>
              <c:layout>
                <c:manualLayout>
                  <c:x val="-5.6432086614173226E-2"/>
                  <c:y val="-2.26611256926217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9-4933-9EEB-AF7633264487}"/>
                </c:ext>
              </c:extLst>
            </c:dLbl>
            <c:dLbl>
              <c:idx val="4"/>
              <c:layout>
                <c:manualLayout>
                  <c:x val="-6.4181649168853896E-2"/>
                  <c:y val="1.08468212306794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69-4933-9EEB-AF76332644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'Ejercicio 19'!$B$4:$B$9</c:f>
              <c:strCache>
                <c:ptCount val="6"/>
                <c:pt idx="0">
                  <c:v>El Periódico</c:v>
                </c:pt>
                <c:pt idx="1">
                  <c:v>La Vanguardia</c:v>
                </c:pt>
                <c:pt idx="2">
                  <c:v>El País</c:v>
                </c:pt>
                <c:pt idx="3">
                  <c:v>Sport</c:v>
                </c:pt>
                <c:pt idx="4">
                  <c:v>El Mundo</c:v>
                </c:pt>
                <c:pt idx="5">
                  <c:v>El Mundo Deportivo</c:v>
                </c:pt>
              </c:strCache>
            </c:strRef>
          </c:cat>
          <c:val>
            <c:numRef>
              <c:f>'Ejercicio 19'!$C$4:$C$9</c:f>
              <c:numCache>
                <c:formatCode>0%</c:formatCode>
                <c:ptCount val="6"/>
                <c:pt idx="0">
                  <c:v>0.22</c:v>
                </c:pt>
                <c:pt idx="1">
                  <c:v>0.25</c:v>
                </c:pt>
                <c:pt idx="2">
                  <c:v>0.12</c:v>
                </c:pt>
                <c:pt idx="3">
                  <c:v>0.16</c:v>
                </c:pt>
                <c:pt idx="4">
                  <c:v>0.12</c:v>
                </c:pt>
                <c:pt idx="5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69-4933-9EEB-AF763326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spPr>
        <a:solidFill>
          <a:schemeClr val="lt1"/>
        </a:solidFill>
        <a:ln w="3175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 sz="9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Evolución de los accidentes de trabajo en Burundi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1"/>
          <c:order val="0"/>
          <c:tx>
            <c:strRef>
              <c:f>'Ejercicio 19'!$C$20</c:f>
              <c:strCache>
                <c:ptCount val="1"/>
                <c:pt idx="0">
                  <c:v>Nº Accid.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'Ejercicio 19'!$B$21:$B$29</c:f>
              <c:numCache>
                <c:formatCode>General</c:formatCod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'Ejercicio 19'!$C$21:$C$29</c:f>
              <c:numCache>
                <c:formatCode>General</c:formatCode>
                <c:ptCount val="9"/>
                <c:pt idx="0">
                  <c:v>1200</c:v>
                </c:pt>
                <c:pt idx="1">
                  <c:v>1250</c:v>
                </c:pt>
                <c:pt idx="2">
                  <c:v>1375</c:v>
                </c:pt>
                <c:pt idx="3">
                  <c:v>1400</c:v>
                </c:pt>
                <c:pt idx="4">
                  <c:v>1300</c:v>
                </c:pt>
                <c:pt idx="5">
                  <c:v>1450</c:v>
                </c:pt>
                <c:pt idx="6">
                  <c:v>1600</c:v>
                </c:pt>
                <c:pt idx="7">
                  <c:v>1580</c:v>
                </c:pt>
                <c:pt idx="8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F5-4EB7-9432-637645BC1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57472"/>
        <c:axId val="61659008"/>
      </c:lineChart>
      <c:catAx>
        <c:axId val="616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659008"/>
        <c:crosses val="autoZero"/>
        <c:auto val="1"/>
        <c:lblAlgn val="ctr"/>
        <c:lblOffset val="100"/>
        <c:noMultiLvlLbl val="0"/>
      </c:catAx>
      <c:valAx>
        <c:axId val="6165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65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13'!$I$10</c:f>
              <c:strCache>
                <c:ptCount val="1"/>
                <c:pt idx="0">
                  <c:v>Precio
final</c:v>
                </c:pt>
              </c:strCache>
            </c:strRef>
          </c:tx>
          <c:invertIfNegative val="0"/>
          <c:cat>
            <c:strRef>
              <c:f>'Ejercicio 13'!$A$11:$A$17</c:f>
              <c:strCache>
                <c:ptCount val="7"/>
                <c:pt idx="0">
                  <c:v>H502</c:v>
                </c:pt>
                <c:pt idx="1">
                  <c:v>H402</c:v>
                </c:pt>
                <c:pt idx="2">
                  <c:v>H109</c:v>
                </c:pt>
                <c:pt idx="3">
                  <c:v>H206</c:v>
                </c:pt>
                <c:pt idx="4">
                  <c:v>H112</c:v>
                </c:pt>
                <c:pt idx="5">
                  <c:v>H110</c:v>
                </c:pt>
                <c:pt idx="6">
                  <c:v>H421</c:v>
                </c:pt>
              </c:strCache>
            </c:strRef>
          </c:cat>
          <c:val>
            <c:numRef>
              <c:f>'Ejercicio 13'!$I$11:$I$17</c:f>
              <c:numCache>
                <c:formatCode>_("€"* #,##0.00_);_("€"* \(#,##0.00\);_("€"* "-"??_);_(@_)</c:formatCode>
                <c:ptCount val="7"/>
                <c:pt idx="0">
                  <c:v>42.48</c:v>
                </c:pt>
                <c:pt idx="1">
                  <c:v>188.8</c:v>
                </c:pt>
                <c:pt idx="2">
                  <c:v>177</c:v>
                </c:pt>
                <c:pt idx="3">
                  <c:v>118.94399999999999</c:v>
                </c:pt>
                <c:pt idx="4">
                  <c:v>89.207999999999998</c:v>
                </c:pt>
                <c:pt idx="5">
                  <c:v>75.52</c:v>
                </c:pt>
                <c:pt idx="6">
                  <c:v>60.416000000000004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D-4B96-8DA7-E50AD337C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626816"/>
        <c:axId val="63640320"/>
        <c:axId val="0"/>
      </c:bar3DChart>
      <c:catAx>
        <c:axId val="6262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640320"/>
        <c:crosses val="autoZero"/>
        <c:auto val="1"/>
        <c:lblAlgn val="ctr"/>
        <c:lblOffset val="100"/>
        <c:noMultiLvlLbl val="0"/>
      </c:catAx>
      <c:valAx>
        <c:axId val="63640320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62626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'Ejercicio 15'!$B$2</c:f>
              <c:strCache>
                <c:ptCount val="1"/>
                <c:pt idx="0">
                  <c:v>Base</c:v>
                </c:pt>
              </c:strCache>
            </c:strRef>
          </c:tx>
          <c:invertIfNegative val="0"/>
          <c:cat>
            <c:strRef>
              <c:f>'Ejercicio 15'!$A$3:$A$17</c:f>
              <c:strCache>
                <c:ptCount val="15"/>
                <c:pt idx="0">
                  <c:v>Ana</c:v>
                </c:pt>
                <c:pt idx="1">
                  <c:v>Miguel</c:v>
                </c:pt>
                <c:pt idx="2">
                  <c:v>Teo</c:v>
                </c:pt>
                <c:pt idx="3">
                  <c:v>Inmaculada</c:v>
                </c:pt>
                <c:pt idx="4">
                  <c:v>Jacobo</c:v>
                </c:pt>
                <c:pt idx="5">
                  <c:v>Andrés</c:v>
                </c:pt>
                <c:pt idx="6">
                  <c:v>Milagros</c:v>
                </c:pt>
                <c:pt idx="7">
                  <c:v>Javi</c:v>
                </c:pt>
                <c:pt idx="8">
                  <c:v>Jose</c:v>
                </c:pt>
                <c:pt idx="9">
                  <c:v>Lisa</c:v>
                </c:pt>
                <c:pt idx="10">
                  <c:v>Carmen</c:v>
                </c:pt>
                <c:pt idx="11">
                  <c:v>Maria</c:v>
                </c:pt>
                <c:pt idx="12">
                  <c:v>Alejandro</c:v>
                </c:pt>
                <c:pt idx="13">
                  <c:v>Sergio</c:v>
                </c:pt>
                <c:pt idx="14">
                  <c:v>Oscar</c:v>
                </c:pt>
              </c:strCache>
            </c:strRef>
          </c:cat>
          <c:val>
            <c:numRef>
              <c:f>'Ejercicio 15'!$B$3:$B$17</c:f>
              <c:numCache>
                <c:formatCode>#,##0.00\ "€"</c:formatCode>
                <c:ptCount val="15"/>
                <c:pt idx="0">
                  <c:v>900</c:v>
                </c:pt>
                <c:pt idx="1">
                  <c:v>870</c:v>
                </c:pt>
                <c:pt idx="2">
                  <c:v>1200</c:v>
                </c:pt>
                <c:pt idx="3">
                  <c:v>1290</c:v>
                </c:pt>
                <c:pt idx="4">
                  <c:v>750</c:v>
                </c:pt>
                <c:pt idx="5">
                  <c:v>720</c:v>
                </c:pt>
                <c:pt idx="6">
                  <c:v>810</c:v>
                </c:pt>
                <c:pt idx="7">
                  <c:v>1270</c:v>
                </c:pt>
                <c:pt idx="8">
                  <c:v>750</c:v>
                </c:pt>
                <c:pt idx="9">
                  <c:v>1200</c:v>
                </c:pt>
                <c:pt idx="10">
                  <c:v>610</c:v>
                </c:pt>
                <c:pt idx="11">
                  <c:v>750</c:v>
                </c:pt>
                <c:pt idx="12">
                  <c:v>750</c:v>
                </c:pt>
                <c:pt idx="13">
                  <c:v>670</c:v>
                </c:pt>
                <c:pt idx="1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D-4122-B3EC-D28C922745D4}"/>
            </c:ext>
          </c:extLst>
        </c:ser>
        <c:ser>
          <c:idx val="1"/>
          <c:order val="1"/>
          <c:tx>
            <c:strRef>
              <c:f>'Ejercicio 15'!$C$2</c:f>
              <c:strCache>
                <c:ptCount val="1"/>
                <c:pt idx="0">
                  <c:v>Ventas</c:v>
                </c:pt>
              </c:strCache>
            </c:strRef>
          </c:tx>
          <c:invertIfNegative val="0"/>
          <c:cat>
            <c:strRef>
              <c:f>'Ejercicio 15'!$A$3:$A$17</c:f>
              <c:strCache>
                <c:ptCount val="15"/>
                <c:pt idx="0">
                  <c:v>Ana</c:v>
                </c:pt>
                <c:pt idx="1">
                  <c:v>Miguel</c:v>
                </c:pt>
                <c:pt idx="2">
                  <c:v>Teo</c:v>
                </c:pt>
                <c:pt idx="3">
                  <c:v>Inmaculada</c:v>
                </c:pt>
                <c:pt idx="4">
                  <c:v>Jacobo</c:v>
                </c:pt>
                <c:pt idx="5">
                  <c:v>Andrés</c:v>
                </c:pt>
                <c:pt idx="6">
                  <c:v>Milagros</c:v>
                </c:pt>
                <c:pt idx="7">
                  <c:v>Javi</c:v>
                </c:pt>
                <c:pt idx="8">
                  <c:v>Jose</c:v>
                </c:pt>
                <c:pt idx="9">
                  <c:v>Lisa</c:v>
                </c:pt>
                <c:pt idx="10">
                  <c:v>Carmen</c:v>
                </c:pt>
                <c:pt idx="11">
                  <c:v>Maria</c:v>
                </c:pt>
                <c:pt idx="12">
                  <c:v>Alejandro</c:v>
                </c:pt>
                <c:pt idx="13">
                  <c:v>Sergio</c:v>
                </c:pt>
                <c:pt idx="14">
                  <c:v>Oscar</c:v>
                </c:pt>
              </c:strCache>
            </c:strRef>
          </c:cat>
          <c:val>
            <c:numRef>
              <c:f>'Ejercicio 15'!$C$3:$C$17</c:f>
              <c:numCache>
                <c:formatCode>#,##0.00\ "€"</c:formatCode>
                <c:ptCount val="15"/>
                <c:pt idx="0">
                  <c:v>3300</c:v>
                </c:pt>
                <c:pt idx="1">
                  <c:v>6160</c:v>
                </c:pt>
                <c:pt idx="2">
                  <c:v>5130</c:v>
                </c:pt>
                <c:pt idx="3">
                  <c:v>7541</c:v>
                </c:pt>
                <c:pt idx="4">
                  <c:v>734</c:v>
                </c:pt>
                <c:pt idx="5">
                  <c:v>3030</c:v>
                </c:pt>
                <c:pt idx="6">
                  <c:v>3758</c:v>
                </c:pt>
                <c:pt idx="7">
                  <c:v>3000</c:v>
                </c:pt>
                <c:pt idx="8">
                  <c:v>1530</c:v>
                </c:pt>
                <c:pt idx="9">
                  <c:v>1420</c:v>
                </c:pt>
                <c:pt idx="10">
                  <c:v>740</c:v>
                </c:pt>
                <c:pt idx="11">
                  <c:v>740</c:v>
                </c:pt>
                <c:pt idx="12">
                  <c:v>3045</c:v>
                </c:pt>
                <c:pt idx="13">
                  <c:v>4530</c:v>
                </c:pt>
                <c:pt idx="14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D-4122-B3EC-D28C92274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482496"/>
        <c:axId val="61484032"/>
      </c:barChart>
      <c:catAx>
        <c:axId val="6148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484032"/>
        <c:crosses val="autoZero"/>
        <c:auto val="1"/>
        <c:lblAlgn val="ctr"/>
        <c:lblOffset val="100"/>
        <c:noMultiLvlLbl val="0"/>
      </c:catAx>
      <c:valAx>
        <c:axId val="61484032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6148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Elecciones al congreso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'Ejercicio 16A'!$B$3</c:f>
              <c:strCache>
                <c:ptCount val="1"/>
                <c:pt idx="0">
                  <c:v>Colegio 1</c:v>
                </c:pt>
              </c:strCache>
            </c:strRef>
          </c:tx>
          <c:invertIfNegative val="0"/>
          <c:cat>
            <c:strRef>
              <c:f>'Ejercicio 16A'!$C$2:$G$2</c:f>
              <c:strCache>
                <c:ptCount val="5"/>
                <c:pt idx="0">
                  <c:v>Progresista</c:v>
                </c:pt>
                <c:pt idx="1">
                  <c:v>Conservador</c:v>
                </c:pt>
                <c:pt idx="2">
                  <c:v>Ecologista</c:v>
                </c:pt>
                <c:pt idx="3">
                  <c:v>Independentista</c:v>
                </c:pt>
                <c:pt idx="4">
                  <c:v>Nulos</c:v>
                </c:pt>
              </c:strCache>
            </c:strRef>
          </c:cat>
          <c:val>
            <c:numRef>
              <c:f>'Ejercicio 16A'!$C$3:$G$3</c:f>
              <c:numCache>
                <c:formatCode>#,##0</c:formatCode>
                <c:ptCount val="5"/>
                <c:pt idx="0">
                  <c:v>1110</c:v>
                </c:pt>
                <c:pt idx="1">
                  <c:v>2150</c:v>
                </c:pt>
                <c:pt idx="2" formatCode="General">
                  <c:v>340</c:v>
                </c:pt>
                <c:pt idx="3" formatCode="General">
                  <c:v>340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E-4FE4-AD19-A5F62059F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99488"/>
        <c:axId val="79603968"/>
      </c:barChart>
      <c:catAx>
        <c:axId val="795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603968"/>
        <c:crosses val="autoZero"/>
        <c:auto val="1"/>
        <c:lblAlgn val="ctr"/>
        <c:lblOffset val="100"/>
        <c:noMultiLvlLbl val="0"/>
      </c:catAx>
      <c:valAx>
        <c:axId val="79603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59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Elecciones al congreso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'Ejercicio 16A'!$B$3</c:f>
              <c:strCache>
                <c:ptCount val="1"/>
                <c:pt idx="0">
                  <c:v>Colegio 1</c:v>
                </c:pt>
              </c:strCache>
            </c:strRef>
          </c:tx>
          <c:explosion val="1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'Ejercicio 16A'!$C$2:$G$2</c:f>
              <c:strCache>
                <c:ptCount val="5"/>
                <c:pt idx="0">
                  <c:v>Progresista</c:v>
                </c:pt>
                <c:pt idx="1">
                  <c:v>Conservador</c:v>
                </c:pt>
                <c:pt idx="2">
                  <c:v>Ecologista</c:v>
                </c:pt>
                <c:pt idx="3">
                  <c:v>Independentista</c:v>
                </c:pt>
                <c:pt idx="4">
                  <c:v>Nulos</c:v>
                </c:pt>
              </c:strCache>
            </c:strRef>
          </c:cat>
          <c:val>
            <c:numRef>
              <c:f>'Ejercicio 16A'!$C$3:$G$3</c:f>
              <c:numCache>
                <c:formatCode>#,##0</c:formatCode>
                <c:ptCount val="5"/>
                <c:pt idx="0">
                  <c:v>1110</c:v>
                </c:pt>
                <c:pt idx="1">
                  <c:v>2150</c:v>
                </c:pt>
                <c:pt idx="2" formatCode="General">
                  <c:v>340</c:v>
                </c:pt>
                <c:pt idx="3" formatCode="General">
                  <c:v>340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D-415A-87DF-CC4B9B5F9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Climatología</a:t>
            </a:r>
          </a:p>
        </c:rich>
      </c:tx>
      <c:overlay val="0"/>
    </c:title>
    <c:autoTitleDeleted val="0"/>
    <c:view3D>
      <c:rotX val="60"/>
      <c:rotY val="50"/>
      <c:rAngAx val="1"/>
    </c:view3D>
    <c:floor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</c:spPr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'Ejercicio 16B'!$B$1</c:f>
              <c:strCache>
                <c:ptCount val="1"/>
                <c:pt idx="0">
                  <c:v>TEMPERATURA (ºC)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'Ejercicio 16B'!$A$2:$A$8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'Ejercicio 16B'!$B$2:$B$8</c:f>
              <c:numCache>
                <c:formatCode>General</c:formatCode>
                <c:ptCount val="7"/>
                <c:pt idx="0">
                  <c:v>25.5</c:v>
                </c:pt>
                <c:pt idx="1">
                  <c:v>22</c:v>
                </c:pt>
                <c:pt idx="2">
                  <c:v>17.5</c:v>
                </c:pt>
                <c:pt idx="3">
                  <c:v>15</c:v>
                </c:pt>
                <c:pt idx="4">
                  <c:v>12.5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7-41A4-A1B7-7ADD13BAF22F}"/>
            </c:ext>
          </c:extLst>
        </c:ser>
        <c:ser>
          <c:idx val="1"/>
          <c:order val="1"/>
          <c:tx>
            <c:strRef>
              <c:f>'Ejercicio 16B'!$C$1</c:f>
              <c:strCache>
                <c:ptCount val="1"/>
                <c:pt idx="0">
                  <c:v>LLUVIAS (l/m3)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'Ejercicio 16B'!$A$2:$A$8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'Ejercicio 16B'!$C$2:$C$8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50</c:v>
                </c:pt>
                <c:pt idx="5">
                  <c:v>100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7-41A4-A1B7-7ADD13BAF22F}"/>
            </c:ext>
          </c:extLst>
        </c:ser>
        <c:ser>
          <c:idx val="2"/>
          <c:order val="2"/>
          <c:tx>
            <c:strRef>
              <c:f>'Ejercicio 16B'!$D$1</c:f>
              <c:strCache>
                <c:ptCount val="1"/>
                <c:pt idx="0">
                  <c:v>HUMEDAD RELATIVA (%)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'Ejercicio 16B'!$A$2:$A$8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'Ejercicio 16B'!$D$2:$D$8</c:f>
              <c:numCache>
                <c:formatCode>General</c:formatCode>
                <c:ptCount val="7"/>
                <c:pt idx="0">
                  <c:v>70</c:v>
                </c:pt>
                <c:pt idx="1">
                  <c:v>60</c:v>
                </c:pt>
                <c:pt idx="2">
                  <c:v>65</c:v>
                </c:pt>
                <c:pt idx="3">
                  <c:v>50</c:v>
                </c:pt>
                <c:pt idx="4">
                  <c:v>45</c:v>
                </c:pt>
                <c:pt idx="5">
                  <c:v>45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C7-41A4-A1B7-7ADD13BAF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716800"/>
        <c:axId val="44718336"/>
        <c:axId val="0"/>
      </c:bar3DChart>
      <c:catAx>
        <c:axId val="4471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44718336"/>
        <c:crosses val="autoZero"/>
        <c:auto val="1"/>
        <c:lblAlgn val="ctr"/>
        <c:lblOffset val="100"/>
        <c:noMultiLvlLbl val="0"/>
      </c:catAx>
      <c:valAx>
        <c:axId val="4471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4716800"/>
        <c:crosses val="autoZero"/>
        <c:crossBetween val="between"/>
      </c:valAx>
    </c:plotArea>
    <c:legend>
      <c:legendPos val="t"/>
      <c:overlay val="0"/>
      <c:spPr>
        <a:solidFill>
          <a:schemeClr val="lt1"/>
        </a:solidFill>
        <a:ln w="3175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'Ejercicio 17'!$E$4</c:f>
              <c:strCache>
                <c:ptCount val="1"/>
                <c:pt idx="0">
                  <c:v>TOTAL VENTAS</c:v>
                </c:pt>
              </c:strCache>
            </c:strRef>
          </c:tx>
          <c:invertIfNegative val="0"/>
          <c:cat>
            <c:strRef>
              <c:f>'Ejercicio 17'!$B$5:$B$10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'Ejercicio 17'!$E$5:$E$10</c:f>
              <c:numCache>
                <c:formatCode>General</c:formatCode>
                <c:ptCount val="6"/>
                <c:pt idx="0">
                  <c:v>140</c:v>
                </c:pt>
                <c:pt idx="1">
                  <c:v>175</c:v>
                </c:pt>
                <c:pt idx="2">
                  <c:v>281</c:v>
                </c:pt>
                <c:pt idx="3">
                  <c:v>147</c:v>
                </c:pt>
                <c:pt idx="4">
                  <c:v>242</c:v>
                </c:pt>
                <c:pt idx="5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A-4B87-9472-B90034D1F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99712"/>
        <c:axId val="44501248"/>
      </c:barChart>
      <c:catAx>
        <c:axId val="44499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501248"/>
        <c:crosses val="autoZero"/>
        <c:auto val="1"/>
        <c:lblAlgn val="ctr"/>
        <c:lblOffset val="100"/>
        <c:noMultiLvlLbl val="0"/>
      </c:catAx>
      <c:valAx>
        <c:axId val="445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449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'Ejercicio 17'!$C$4</c:f>
              <c:strCache>
                <c:ptCount val="1"/>
                <c:pt idx="0">
                  <c:v>PRODUCTO 1</c:v>
                </c:pt>
              </c:strCache>
            </c:strRef>
          </c:tx>
          <c:invertIfNegative val="0"/>
          <c:cat>
            <c:strRef>
              <c:f>'Ejercicio 17'!$B$5:$B$7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'Ejercicio 17'!$C$5:$C$7</c:f>
              <c:numCache>
                <c:formatCode>General</c:formatCode>
                <c:ptCount val="3"/>
                <c:pt idx="0">
                  <c:v>100</c:v>
                </c:pt>
                <c:pt idx="1">
                  <c:v>150</c:v>
                </c:pt>
                <c:pt idx="2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C-486B-8E03-D97C22AAC992}"/>
            </c:ext>
          </c:extLst>
        </c:ser>
        <c:ser>
          <c:idx val="1"/>
          <c:order val="1"/>
          <c:tx>
            <c:strRef>
              <c:f>'Ejercicio 17'!$D$4</c:f>
              <c:strCache>
                <c:ptCount val="1"/>
                <c:pt idx="0">
                  <c:v>PRODUCTO 2</c:v>
                </c:pt>
              </c:strCache>
            </c:strRef>
          </c:tx>
          <c:invertIfNegative val="0"/>
          <c:cat>
            <c:strRef>
              <c:f>'Ejercicio 17'!$B$5:$B$7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'Ejercicio 17'!$D$5:$D$7</c:f>
              <c:numCache>
                <c:formatCode>General</c:formatCode>
                <c:ptCount val="3"/>
                <c:pt idx="0">
                  <c:v>40</c:v>
                </c:pt>
                <c:pt idx="1">
                  <c:v>25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C-486B-8E03-D97C22AAC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31072"/>
        <c:axId val="44532864"/>
      </c:barChart>
      <c:catAx>
        <c:axId val="44531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532864"/>
        <c:crosses val="autoZero"/>
        <c:auto val="1"/>
        <c:lblAlgn val="ctr"/>
        <c:lblOffset val="100"/>
        <c:noMultiLvlLbl val="0"/>
      </c:catAx>
      <c:valAx>
        <c:axId val="4453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4531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'Ejercicio 17'!$C$4</c:f>
              <c:strCache>
                <c:ptCount val="1"/>
                <c:pt idx="0">
                  <c:v>PRODUCTO 1</c:v>
                </c:pt>
              </c:strCache>
            </c:strRef>
          </c:tx>
          <c:invertIfNegative val="0"/>
          <c:cat>
            <c:strRef>
              <c:f>'Ejercicio 17'!$B$8:$B$10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'Ejercicio 17'!$C$8:$C$10</c:f>
              <c:numCache>
                <c:formatCode>General</c:formatCode>
                <c:ptCount val="3"/>
                <c:pt idx="0">
                  <c:v>95</c:v>
                </c:pt>
                <c:pt idx="1">
                  <c:v>75</c:v>
                </c:pt>
                <c:pt idx="2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B19-9A17-63F615D6CFB1}"/>
            </c:ext>
          </c:extLst>
        </c:ser>
        <c:ser>
          <c:idx val="1"/>
          <c:order val="1"/>
          <c:tx>
            <c:strRef>
              <c:f>'Ejercicio 17'!$D$4</c:f>
              <c:strCache>
                <c:ptCount val="1"/>
                <c:pt idx="0">
                  <c:v>PRODUCTO 2</c:v>
                </c:pt>
              </c:strCache>
            </c:strRef>
          </c:tx>
          <c:invertIfNegative val="0"/>
          <c:cat>
            <c:strRef>
              <c:f>'Ejercicio 17'!$B$8:$B$10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'Ejercicio 17'!$D$8:$D$10</c:f>
              <c:numCache>
                <c:formatCode>General</c:formatCode>
                <c:ptCount val="3"/>
                <c:pt idx="0">
                  <c:v>52</c:v>
                </c:pt>
                <c:pt idx="1">
                  <c:v>167</c:v>
                </c:pt>
                <c:pt idx="2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C-4B19-9A17-63F615D6C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45536"/>
        <c:axId val="44547072"/>
      </c:barChart>
      <c:catAx>
        <c:axId val="44545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547072"/>
        <c:crosses val="autoZero"/>
        <c:auto val="1"/>
        <c:lblAlgn val="ctr"/>
        <c:lblOffset val="100"/>
        <c:noMultiLvlLbl val="0"/>
      </c:catAx>
      <c:valAx>
        <c:axId val="4454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454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https://teformas.com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s://teformas.com" TargetMode="External"/><Relationship Id="rId1" Type="http://schemas.openxmlformats.org/officeDocument/2006/relationships/chart" Target="../charts/chart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https://teformas.com" TargetMode="Externa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https://teformas.com" TargetMode="External"/><Relationship Id="rId1" Type="http://schemas.openxmlformats.org/officeDocument/2006/relationships/chart" Target="../charts/chart6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image" Target="../media/image1.gif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hyperlink" Target="https://teformas.com" TargetMode="Externa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https://teformas.com" TargetMode="Externa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https://teformas.com" TargetMode="Externa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teforma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400050</xdr:colOff>
      <xdr:row>1</xdr:row>
      <xdr:rowOff>76200</xdr:rowOff>
    </xdr:from>
    <xdr:to>
      <xdr:col>14</xdr:col>
      <xdr:colOff>295275</xdr:colOff>
      <xdr:row>4</xdr:row>
      <xdr:rowOff>66690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CC397C-ACDF-4713-8FD6-F770D1761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266700"/>
          <a:ext cx="4495800" cy="5810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5</xdr:col>
      <xdr:colOff>952500</xdr:colOff>
      <xdr:row>18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BFA9-7EB4-4E35-BE26-92BD7148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2933700"/>
          <a:ext cx="4495800" cy="5810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0</xdr:rowOff>
    </xdr:from>
    <xdr:to>
      <xdr:col>6</xdr:col>
      <xdr:colOff>762000</xdr:colOff>
      <xdr:row>17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D6ADF3-BB74-42E8-9905-C71ABC6EE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743200"/>
          <a:ext cx="4495800" cy="5810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6</xdr:col>
      <xdr:colOff>114300</xdr:colOff>
      <xdr:row>14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2CE38C-DA57-4392-8364-8556B8C9E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2343150"/>
          <a:ext cx="4495800" cy="5810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6</xdr:col>
      <xdr:colOff>800100</xdr:colOff>
      <xdr:row>14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70369C-BC0F-4CA0-9917-7FAE95964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2343150"/>
          <a:ext cx="4495800" cy="5810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6</xdr:col>
      <xdr:colOff>342900</xdr:colOff>
      <xdr:row>14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DA960E-BDEF-4CC8-8588-D5D6E1CB6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2343150"/>
          <a:ext cx="4495800" cy="5810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542925</xdr:colOff>
      <xdr:row>14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707D7A-635B-4B29-8DFD-9C9B5A6BA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181225"/>
          <a:ext cx="4495800" cy="5810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542925</xdr:colOff>
      <xdr:row>14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94D395-CCD5-49D5-A47A-146F3202E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238375"/>
          <a:ext cx="4495800" cy="5810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542925</xdr:colOff>
      <xdr:row>14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9C764-991B-446B-9E36-BAAC4088B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238375"/>
          <a:ext cx="4495800" cy="5810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176212</xdr:rowOff>
    </xdr:from>
    <xdr:to>
      <xdr:col>5</xdr:col>
      <xdr:colOff>647700</xdr:colOff>
      <xdr:row>32</xdr:row>
      <xdr:rowOff>52387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17</xdr:row>
      <xdr:rowOff>195262</xdr:rowOff>
    </xdr:from>
    <xdr:to>
      <xdr:col>11</xdr:col>
      <xdr:colOff>752475</xdr:colOff>
      <xdr:row>32</xdr:row>
      <xdr:rowOff>71437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15</xdr:col>
      <xdr:colOff>685800</xdr:colOff>
      <xdr:row>4</xdr:row>
      <xdr:rowOff>9540</xdr:rowOff>
    </xdr:to>
    <xdr:pic>
      <xdr:nvPicPr>
        <xdr:cNvPr id="4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29112A-C705-4EB3-8C2B-8618112B9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428625"/>
          <a:ext cx="4495800" cy="5810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</xdr:row>
      <xdr:rowOff>0</xdr:rowOff>
    </xdr:from>
    <xdr:to>
      <xdr:col>16</xdr:col>
      <xdr:colOff>685800</xdr:colOff>
      <xdr:row>7</xdr:row>
      <xdr:rowOff>60340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FA0E1B-286D-421C-AB5E-0C5178BFC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9400" y="977900"/>
          <a:ext cx="4495800" cy="58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12</xdr:col>
      <xdr:colOff>685800</xdr:colOff>
      <xdr:row>3</xdr:row>
      <xdr:rowOff>47640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488660-84DA-4C1F-AA62-849000DBE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190500"/>
          <a:ext cx="4495800" cy="5810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171450</xdr:rowOff>
    </xdr:from>
    <xdr:to>
      <xdr:col>12</xdr:col>
      <xdr:colOff>381000</xdr:colOff>
      <xdr:row>31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14</xdr:col>
      <xdr:colOff>685800</xdr:colOff>
      <xdr:row>5</xdr:row>
      <xdr:rowOff>15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7857B6-320C-41B1-AEA3-172A05738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704850"/>
          <a:ext cx="4495800" cy="58104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4762</xdr:rowOff>
    </xdr:from>
    <xdr:to>
      <xdr:col>5</xdr:col>
      <xdr:colOff>0</xdr:colOff>
      <xdr:row>19</xdr:row>
      <xdr:rowOff>80962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66675</xdr:colOff>
      <xdr:row>5</xdr:row>
      <xdr:rowOff>4761</xdr:rowOff>
    </xdr:from>
    <xdr:to>
      <xdr:col>9</xdr:col>
      <xdr:colOff>438150</xdr:colOff>
      <xdr:row>19</xdr:row>
      <xdr:rowOff>85724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15</xdr:col>
      <xdr:colOff>685800</xdr:colOff>
      <xdr:row>3</xdr:row>
      <xdr:rowOff>161940</xdr:rowOff>
    </xdr:to>
    <xdr:pic>
      <xdr:nvPicPr>
        <xdr:cNvPr id="5" name="Imagen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360605-9CDB-44AD-BC48-B6D1B77F1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2125" y="200025"/>
          <a:ext cx="4495800" cy="58104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42862</xdr:rowOff>
    </xdr:from>
    <xdr:to>
      <xdr:col>4</xdr:col>
      <xdr:colOff>38100</xdr:colOff>
      <xdr:row>25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</xdr:row>
      <xdr:rowOff>0</xdr:rowOff>
    </xdr:from>
    <xdr:to>
      <xdr:col>10</xdr:col>
      <xdr:colOff>685800</xdr:colOff>
      <xdr:row>4</xdr:row>
      <xdr:rowOff>180990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1DAFD0-EBA6-406B-A9C1-C55DEAD95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438150"/>
          <a:ext cx="4495800" cy="58104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10</xdr:row>
      <xdr:rowOff>185737</xdr:rowOff>
    </xdr:from>
    <xdr:to>
      <xdr:col>5</xdr:col>
      <xdr:colOff>676275</xdr:colOff>
      <xdr:row>25</xdr:row>
      <xdr:rowOff>71437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10</xdr:row>
      <xdr:rowOff>185737</xdr:rowOff>
    </xdr:from>
    <xdr:to>
      <xdr:col>12</xdr:col>
      <xdr:colOff>19050</xdr:colOff>
      <xdr:row>25</xdr:row>
      <xdr:rowOff>71437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714375</xdr:colOff>
      <xdr:row>25</xdr:row>
      <xdr:rowOff>185737</xdr:rowOff>
    </xdr:from>
    <xdr:to>
      <xdr:col>5</xdr:col>
      <xdr:colOff>657225</xdr:colOff>
      <xdr:row>40</xdr:row>
      <xdr:rowOff>71437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26</xdr:row>
      <xdr:rowOff>14287</xdr:rowOff>
    </xdr:from>
    <xdr:to>
      <xdr:col>12</xdr:col>
      <xdr:colOff>9525</xdr:colOff>
      <xdr:row>40</xdr:row>
      <xdr:rowOff>90487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695325</xdr:colOff>
      <xdr:row>40</xdr:row>
      <xdr:rowOff>109537</xdr:rowOff>
    </xdr:from>
    <xdr:to>
      <xdr:col>5</xdr:col>
      <xdr:colOff>638175</xdr:colOff>
      <xdr:row>54</xdr:row>
      <xdr:rowOff>185737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0</xdr:colOff>
      <xdr:row>2</xdr:row>
      <xdr:rowOff>0</xdr:rowOff>
    </xdr:from>
    <xdr:to>
      <xdr:col>11</xdr:col>
      <xdr:colOff>685800</xdr:colOff>
      <xdr:row>4</xdr:row>
      <xdr:rowOff>171465</xdr:rowOff>
    </xdr:to>
    <xdr:pic>
      <xdr:nvPicPr>
        <xdr:cNvPr id="7" name="Imagen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C5719C1-1DE4-4CEE-9E35-79D5334CC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50" y="409575"/>
          <a:ext cx="4495800" cy="58104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9</xdr:row>
      <xdr:rowOff>23812</xdr:rowOff>
    </xdr:from>
    <xdr:to>
      <xdr:col>6</xdr:col>
      <xdr:colOff>514350</xdr:colOff>
      <xdr:row>23</xdr:row>
      <xdr:rowOff>100012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619125</xdr:colOff>
      <xdr:row>9</xdr:row>
      <xdr:rowOff>33337</xdr:rowOff>
    </xdr:from>
    <xdr:to>
      <xdr:col>12</xdr:col>
      <xdr:colOff>533400</xdr:colOff>
      <xdr:row>23</xdr:row>
      <xdr:rowOff>109537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0</xdr:colOff>
      <xdr:row>3</xdr:row>
      <xdr:rowOff>0</xdr:rowOff>
    </xdr:from>
    <xdr:to>
      <xdr:col>11</xdr:col>
      <xdr:colOff>685800</xdr:colOff>
      <xdr:row>6</xdr:row>
      <xdr:rowOff>9540</xdr:rowOff>
    </xdr:to>
    <xdr:pic>
      <xdr:nvPicPr>
        <xdr:cNvPr id="4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0A2F97-165A-452D-A2BD-4032E5D44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609600"/>
          <a:ext cx="4495800" cy="58104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185737</xdr:rowOff>
    </xdr:from>
    <xdr:to>
      <xdr:col>10</xdr:col>
      <xdr:colOff>0</xdr:colOff>
      <xdr:row>15</xdr:row>
      <xdr:rowOff>71437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16</xdr:row>
      <xdr:rowOff>185737</xdr:rowOff>
    </xdr:from>
    <xdr:to>
      <xdr:col>10</xdr:col>
      <xdr:colOff>66675</xdr:colOff>
      <xdr:row>31</xdr:row>
      <xdr:rowOff>61912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0</xdr:colOff>
      <xdr:row>2</xdr:row>
      <xdr:rowOff>0</xdr:rowOff>
    </xdr:from>
    <xdr:to>
      <xdr:col>16</xdr:col>
      <xdr:colOff>685800</xdr:colOff>
      <xdr:row>5</xdr:row>
      <xdr:rowOff>9540</xdr:rowOff>
    </xdr:to>
    <xdr:pic>
      <xdr:nvPicPr>
        <xdr:cNvPr id="5" name="Imagen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603EFE0-4B3F-4187-9295-5C5BD64CE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81000"/>
          <a:ext cx="4495800" cy="58104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13</xdr:col>
      <xdr:colOff>685800</xdr:colOff>
      <xdr:row>5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E2FAC-BEA0-409F-B58A-E8445F433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381000"/>
          <a:ext cx="4495800" cy="581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13</xdr:col>
      <xdr:colOff>685800</xdr:colOff>
      <xdr:row>4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03C38C-D1DC-47A7-B278-C89BEEA72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190500"/>
          <a:ext cx="4495800" cy="581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13</xdr:col>
      <xdr:colOff>685800</xdr:colOff>
      <xdr:row>4</xdr:row>
      <xdr:rowOff>15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C3610B-C057-40DE-8EE6-D65F043FC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200025"/>
          <a:ext cx="4495800" cy="581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14</xdr:col>
      <xdr:colOff>685800</xdr:colOff>
      <xdr:row>6</xdr:row>
      <xdr:rowOff>176228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8F2628-5E21-464E-8E24-BA6C1086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7781" y="797719"/>
          <a:ext cx="4495800" cy="581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8</xdr:col>
      <xdr:colOff>342900</xdr:colOff>
      <xdr:row>13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74F514-56D0-408F-9F89-E214DF250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2000250"/>
          <a:ext cx="4495800" cy="5810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0</xdr:rowOff>
    </xdr:from>
    <xdr:to>
      <xdr:col>10</xdr:col>
      <xdr:colOff>180975</xdr:colOff>
      <xdr:row>12</xdr:row>
      <xdr:rowOff>9540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CDCB48-CD7B-4B8F-8188-C259A088D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1895475"/>
          <a:ext cx="4495800" cy="5810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9</xdr:col>
      <xdr:colOff>685800</xdr:colOff>
      <xdr:row>10</xdr:row>
      <xdr:rowOff>180990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5E519F-0A8E-42C7-A744-D941417FB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600200"/>
          <a:ext cx="4495800" cy="5810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16</xdr:row>
      <xdr:rowOff>152400</xdr:rowOff>
    </xdr:from>
    <xdr:to>
      <xdr:col>8</xdr:col>
      <xdr:colOff>333375</xdr:colOff>
      <xdr:row>19</xdr:row>
      <xdr:rowOff>161940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52E80-2DE2-481D-8BAC-929A1BC69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25" y="3295650"/>
          <a:ext cx="4495800" cy="58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L11" sqref="L11"/>
    </sheetView>
  </sheetViews>
  <sheetFormatPr baseColWidth="10" defaultRowHeight="15" x14ac:dyDescent="0.25"/>
  <cols>
    <col min="1" max="1" width="9.42578125" customWidth="1"/>
    <col min="2" max="2" width="28.28515625" bestFit="1" customWidth="1"/>
    <col min="3" max="7" width="11.85546875" bestFit="1" customWidth="1"/>
    <col min="8" max="8" width="9.42578125" customWidth="1"/>
    <col min="12" max="12" width="11.85546875" bestFit="1" customWidth="1"/>
  </cols>
  <sheetData>
    <row r="1" spans="1:8" x14ac:dyDescent="0.25">
      <c r="A1" s="38"/>
      <c r="B1" s="345" t="s">
        <v>82</v>
      </c>
      <c r="C1" s="345"/>
      <c r="D1" s="345"/>
      <c r="E1" s="345"/>
      <c r="F1" s="345"/>
      <c r="G1" s="345"/>
      <c r="H1" s="38"/>
    </row>
    <row r="2" spans="1:8" x14ac:dyDescent="0.25">
      <c r="A2" s="38"/>
      <c r="B2" s="345"/>
      <c r="C2" s="345"/>
      <c r="D2" s="345"/>
      <c r="E2" s="345"/>
      <c r="F2" s="345"/>
      <c r="G2" s="345"/>
      <c r="H2" s="38"/>
    </row>
    <row r="3" spans="1:8" ht="15.75" thickBot="1" x14ac:dyDescent="0.3">
      <c r="A3" s="38"/>
      <c r="B3" s="38"/>
      <c r="C3" s="38"/>
      <c r="D3" s="38"/>
      <c r="E3" s="38"/>
      <c r="F3" s="38"/>
      <c r="G3" s="38"/>
      <c r="H3" s="38"/>
    </row>
    <row r="4" spans="1:8" ht="15.75" thickBot="1" x14ac:dyDescent="0.3">
      <c r="A4" s="38"/>
      <c r="B4" s="39"/>
      <c r="C4" s="22" t="s">
        <v>37</v>
      </c>
      <c r="D4" s="23" t="s">
        <v>38</v>
      </c>
      <c r="E4" s="23" t="s">
        <v>39</v>
      </c>
      <c r="F4" s="23" t="s">
        <v>40</v>
      </c>
      <c r="G4" s="24" t="s">
        <v>41</v>
      </c>
      <c r="H4" s="38"/>
    </row>
    <row r="5" spans="1:8" x14ac:dyDescent="0.25">
      <c r="A5" s="38"/>
      <c r="B5" s="40" t="s">
        <v>87</v>
      </c>
      <c r="C5" s="27"/>
      <c r="D5" s="28"/>
      <c r="E5" s="28"/>
      <c r="F5" s="28"/>
      <c r="G5" s="29"/>
      <c r="H5" s="38"/>
    </row>
    <row r="6" spans="1:8" x14ac:dyDescent="0.25">
      <c r="A6" s="38"/>
      <c r="B6" s="41" t="s">
        <v>88</v>
      </c>
      <c r="C6" s="30"/>
      <c r="D6" s="31"/>
      <c r="E6" s="31"/>
      <c r="F6" s="31"/>
      <c r="G6" s="32"/>
      <c r="H6" s="38"/>
    </row>
    <row r="7" spans="1:8" x14ac:dyDescent="0.25">
      <c r="A7" s="38"/>
      <c r="B7" s="41" t="s">
        <v>89</v>
      </c>
      <c r="C7" s="30"/>
      <c r="D7" s="31"/>
      <c r="E7" s="31"/>
      <c r="F7" s="31"/>
      <c r="G7" s="32"/>
      <c r="H7" s="38"/>
    </row>
    <row r="8" spans="1:8" x14ac:dyDescent="0.25">
      <c r="A8" s="38"/>
      <c r="B8" s="41" t="s">
        <v>90</v>
      </c>
      <c r="C8" s="30"/>
      <c r="D8" s="31"/>
      <c r="E8" s="31"/>
      <c r="F8" s="31"/>
      <c r="G8" s="32"/>
      <c r="H8" s="38"/>
    </row>
    <row r="9" spans="1:8" x14ac:dyDescent="0.25">
      <c r="A9" s="38"/>
      <c r="B9" s="41" t="s">
        <v>91</v>
      </c>
      <c r="C9" s="30"/>
      <c r="D9" s="31"/>
      <c r="E9" s="31"/>
      <c r="F9" s="31"/>
      <c r="G9" s="32"/>
      <c r="H9" s="38"/>
    </row>
    <row r="10" spans="1:8" x14ac:dyDescent="0.25">
      <c r="A10" s="38"/>
      <c r="B10" s="41" t="s">
        <v>92</v>
      </c>
      <c r="C10" s="30"/>
      <c r="D10" s="31"/>
      <c r="E10" s="31"/>
      <c r="F10" s="31"/>
      <c r="G10" s="32"/>
      <c r="H10" s="38"/>
    </row>
    <row r="11" spans="1:8" x14ac:dyDescent="0.25">
      <c r="A11" s="38"/>
      <c r="B11" s="41" t="s">
        <v>93</v>
      </c>
      <c r="C11" s="30"/>
      <c r="D11" s="31"/>
      <c r="E11" s="31"/>
      <c r="F11" s="31"/>
      <c r="G11" s="32"/>
      <c r="H11" s="38"/>
    </row>
    <row r="12" spans="1:8" x14ac:dyDescent="0.25">
      <c r="A12" s="38"/>
      <c r="B12" s="41" t="s">
        <v>94</v>
      </c>
      <c r="C12" s="30"/>
      <c r="D12" s="31"/>
      <c r="E12" s="31"/>
      <c r="F12" s="31"/>
      <c r="G12" s="32"/>
      <c r="H12" s="38"/>
    </row>
    <row r="13" spans="1:8" x14ac:dyDescent="0.25">
      <c r="A13" s="38"/>
      <c r="B13" s="41" t="s">
        <v>95</v>
      </c>
      <c r="C13" s="30"/>
      <c r="D13" s="31"/>
      <c r="E13" s="31"/>
      <c r="F13" s="31"/>
      <c r="G13" s="32"/>
      <c r="H13" s="38"/>
    </row>
    <row r="14" spans="1:8" ht="15.75" thickBot="1" x14ac:dyDescent="0.3">
      <c r="A14" s="38"/>
      <c r="B14" s="42" t="s">
        <v>96</v>
      </c>
      <c r="C14" s="33"/>
      <c r="D14" s="34"/>
      <c r="E14" s="34"/>
      <c r="F14" s="34"/>
      <c r="G14" s="35"/>
      <c r="H14" s="38"/>
    </row>
    <row r="15" spans="1:8" x14ac:dyDescent="0.25">
      <c r="A15" s="38"/>
      <c r="B15" s="38"/>
      <c r="C15" s="38"/>
      <c r="D15" s="38"/>
      <c r="E15" s="38"/>
      <c r="F15" s="38"/>
      <c r="G15" s="38"/>
      <c r="H15" s="38"/>
    </row>
    <row r="16" spans="1:8" ht="15.75" thickBot="1" x14ac:dyDescent="0.3">
      <c r="A16" s="38"/>
      <c r="B16" s="38"/>
      <c r="C16" s="38"/>
      <c r="D16" s="38"/>
      <c r="E16" s="38"/>
      <c r="F16" s="38"/>
      <c r="G16" s="38"/>
      <c r="H16" s="38"/>
    </row>
    <row r="17" spans="1:8" x14ac:dyDescent="0.25">
      <c r="A17" s="38"/>
      <c r="B17" s="38"/>
      <c r="C17" s="25" t="s">
        <v>83</v>
      </c>
      <c r="D17" s="346">
        <v>40920</v>
      </c>
      <c r="E17" s="347"/>
      <c r="F17" s="38"/>
      <c r="G17" s="38"/>
      <c r="H17" s="38"/>
    </row>
    <row r="18" spans="1:8" x14ac:dyDescent="0.25">
      <c r="A18" s="38"/>
      <c r="B18" s="38"/>
      <c r="C18" s="26" t="s">
        <v>84</v>
      </c>
      <c r="D18" s="348">
        <v>40991</v>
      </c>
      <c r="E18" s="349"/>
      <c r="F18" s="38"/>
      <c r="G18" s="38"/>
      <c r="H18" s="38"/>
    </row>
    <row r="19" spans="1:8" x14ac:dyDescent="0.25">
      <c r="A19" s="38"/>
      <c r="B19" s="38"/>
      <c r="C19" s="352" t="s">
        <v>85</v>
      </c>
      <c r="D19" s="36">
        <v>0.61458333333333337</v>
      </c>
      <c r="E19" s="37">
        <v>0.69791666666666663</v>
      </c>
      <c r="F19" s="38"/>
      <c r="G19" s="38"/>
      <c r="H19" s="38"/>
    </row>
    <row r="20" spans="1:8" ht="15.75" thickBot="1" x14ac:dyDescent="0.3">
      <c r="A20" s="38"/>
      <c r="B20" s="38"/>
      <c r="C20" s="353"/>
      <c r="D20" s="350" t="s">
        <v>86</v>
      </c>
      <c r="E20" s="351"/>
      <c r="F20" s="38"/>
      <c r="G20" s="38"/>
      <c r="H20" s="38"/>
    </row>
    <row r="21" spans="1:8" x14ac:dyDescent="0.25">
      <c r="A21" s="38"/>
      <c r="B21" s="38"/>
      <c r="C21" s="38"/>
      <c r="D21" s="38"/>
      <c r="E21" s="38"/>
      <c r="F21" s="38"/>
      <c r="G21" s="38"/>
      <c r="H21" s="38"/>
    </row>
  </sheetData>
  <sheetProtection algorithmName="SHA-512" hashValue="10AN9l8kTEdqr0/Czy3UpywrAN6M/gBodUJMqvcgcoV7ZS2sz0PvSmzxPtjcbhSNww/Qo0ElE9jQeDd38eEmnQ==" saltValue="PKYThDlW6QkasCkhdeDbpA==" spinCount="100000" sheet="1" objects="1" scenarios="1"/>
  <protectedRanges>
    <protectedRange sqref="C5:G14" name="Rango1"/>
  </protectedRanges>
  <mergeCells count="5">
    <mergeCell ref="B1:G2"/>
    <mergeCell ref="D17:E17"/>
    <mergeCell ref="D18:E18"/>
    <mergeCell ref="D20:E20"/>
    <mergeCell ref="C19:C20"/>
  </mergeCells>
  <conditionalFormatting sqref="C5:G14">
    <cfRule type="cellIs" dxfId="10" priority="1" operator="lessThan">
      <formula>5</formula>
    </cfRule>
  </conditionalFormatting>
  <dataValidations count="1">
    <dataValidation type="decimal" allowBlank="1" showInputMessage="1" showErrorMessage="1" errorTitle="Error" error="Por favor, introduce un dato correcto." sqref="C5:G14" xr:uid="{00000000-0002-0000-0000-000000000000}">
      <formula1>0</formula1>
      <formula2>10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14"/>
  <sheetViews>
    <sheetView workbookViewId="0">
      <selection activeCell="C16" sqref="C16"/>
    </sheetView>
  </sheetViews>
  <sheetFormatPr baseColWidth="10" defaultRowHeight="15" x14ac:dyDescent="0.25"/>
  <cols>
    <col min="2" max="6" width="17.7109375" customWidth="1"/>
  </cols>
  <sheetData>
    <row r="1" spans="2:6" ht="15.75" thickBot="1" x14ac:dyDescent="0.3"/>
    <row r="2" spans="2:6" ht="15.75" thickTop="1" x14ac:dyDescent="0.25">
      <c r="B2" s="374"/>
      <c r="C2" s="376" t="s">
        <v>44</v>
      </c>
      <c r="D2" s="378" t="s">
        <v>45</v>
      </c>
      <c r="E2" s="157" t="s">
        <v>46</v>
      </c>
      <c r="F2" s="171" t="s">
        <v>48</v>
      </c>
    </row>
    <row r="3" spans="2:6" ht="15.75" thickBot="1" x14ac:dyDescent="0.3">
      <c r="B3" s="375"/>
      <c r="C3" s="377"/>
      <c r="D3" s="379"/>
      <c r="E3" s="158" t="s">
        <v>47</v>
      </c>
      <c r="F3" s="174" t="s">
        <v>49</v>
      </c>
    </row>
    <row r="4" spans="2:6" ht="15.75" thickTop="1" x14ac:dyDescent="0.25">
      <c r="B4" s="159" t="s">
        <v>25</v>
      </c>
      <c r="C4" s="160">
        <v>25.5</v>
      </c>
      <c r="D4" s="161">
        <v>0</v>
      </c>
      <c r="E4" s="162">
        <v>70</v>
      </c>
      <c r="F4" s="185" t="str">
        <f>+IF(C4&gt;$C$11,"SUP","INF")</f>
        <v>SUP</v>
      </c>
    </row>
    <row r="5" spans="2:6" x14ac:dyDescent="0.25">
      <c r="B5" s="163" t="s">
        <v>50</v>
      </c>
      <c r="C5" s="164">
        <v>22</v>
      </c>
      <c r="D5" s="165">
        <v>0</v>
      </c>
      <c r="E5" s="166">
        <v>60</v>
      </c>
      <c r="F5" s="172" t="str">
        <f t="shared" ref="F5:F10" si="0">+IF(C5&gt;$C$11,"SUP","INF")</f>
        <v>SUP</v>
      </c>
    </row>
    <row r="6" spans="2:6" x14ac:dyDescent="0.25">
      <c r="B6" s="163" t="s">
        <v>51</v>
      </c>
      <c r="C6" s="164">
        <v>17.5</v>
      </c>
      <c r="D6" s="165">
        <v>0</v>
      </c>
      <c r="E6" s="166">
        <v>65</v>
      </c>
      <c r="F6" s="172" t="str">
        <f t="shared" si="0"/>
        <v>SUP</v>
      </c>
    </row>
    <row r="7" spans="2:6" x14ac:dyDescent="0.25">
      <c r="B7" s="163" t="s">
        <v>52</v>
      </c>
      <c r="C7" s="164">
        <v>15</v>
      </c>
      <c r="D7" s="165">
        <v>26</v>
      </c>
      <c r="E7" s="166">
        <v>50</v>
      </c>
      <c r="F7" s="172" t="str">
        <f t="shared" si="0"/>
        <v>INF</v>
      </c>
    </row>
    <row r="8" spans="2:6" x14ac:dyDescent="0.25">
      <c r="B8" s="163" t="s">
        <v>53</v>
      </c>
      <c r="C8" s="164">
        <v>12.5</v>
      </c>
      <c r="D8" s="165">
        <v>50</v>
      </c>
      <c r="E8" s="166">
        <v>45</v>
      </c>
      <c r="F8" s="172" t="str">
        <f t="shared" si="0"/>
        <v>INF</v>
      </c>
    </row>
    <row r="9" spans="2:6" x14ac:dyDescent="0.25">
      <c r="B9" s="163" t="s">
        <v>26</v>
      </c>
      <c r="C9" s="164">
        <v>10</v>
      </c>
      <c r="D9" s="165">
        <v>100</v>
      </c>
      <c r="E9" s="166">
        <v>45</v>
      </c>
      <c r="F9" s="172" t="str">
        <f t="shared" si="0"/>
        <v>INF</v>
      </c>
    </row>
    <row r="10" spans="2:6" ht="15.75" thickBot="1" x14ac:dyDescent="0.3">
      <c r="B10" s="167" t="s">
        <v>54</v>
      </c>
      <c r="C10" s="168">
        <v>9</v>
      </c>
      <c r="D10" s="169">
        <v>150</v>
      </c>
      <c r="E10" s="170">
        <v>50</v>
      </c>
      <c r="F10" s="173" t="str">
        <f t="shared" si="0"/>
        <v>INF</v>
      </c>
    </row>
    <row r="11" spans="2:6" ht="15.75" thickTop="1" x14ac:dyDescent="0.25">
      <c r="B11" s="175" t="s">
        <v>55</v>
      </c>
      <c r="C11" s="176">
        <f>AVERAGE(C4:C10)</f>
        <v>15.928571428571429</v>
      </c>
      <c r="D11" s="177">
        <f t="shared" ref="D11:E11" si="1">AVERAGE(D4:D10)</f>
        <v>46.571428571428569</v>
      </c>
      <c r="E11" s="178">
        <f t="shared" si="1"/>
        <v>55</v>
      </c>
      <c r="F11" s="17"/>
    </row>
    <row r="12" spans="2:6" x14ac:dyDescent="0.25">
      <c r="B12" s="179" t="s">
        <v>42</v>
      </c>
      <c r="C12" s="180">
        <f>MAX(C4:C10)</f>
        <v>25.5</v>
      </c>
      <c r="D12" s="181">
        <f t="shared" ref="D12:E12" si="2">MAX(D4:D10)</f>
        <v>150</v>
      </c>
      <c r="E12" s="166">
        <f t="shared" si="2"/>
        <v>70</v>
      </c>
    </row>
    <row r="13" spans="2:6" ht="15.75" thickBot="1" x14ac:dyDescent="0.3">
      <c r="B13" s="182" t="s">
        <v>141</v>
      </c>
      <c r="C13" s="183">
        <f>MIN(C4:C10)</f>
        <v>9</v>
      </c>
      <c r="D13" s="184">
        <f t="shared" ref="D13:E13" si="3">MIN(D4:D10)</f>
        <v>0</v>
      </c>
      <c r="E13" s="170">
        <f t="shared" si="3"/>
        <v>45</v>
      </c>
    </row>
    <row r="14" spans="2:6" ht="15.75" thickTop="1" x14ac:dyDescent="0.25"/>
  </sheetData>
  <sheetProtection algorithmName="SHA-512" hashValue="drW8X1L3dXKpAHNIWcBGOpOp1y3OPJtbFrJ3ohiiVO6cyZrckDtb3pP19cnrhGw7ox+gamahPWJ6TCCAGuFSqg==" saltValue="0ARz+CJIoLnllvI8DG64Sg==" spinCount="100000" sheet="1" objects="1" scenarios="1"/>
  <mergeCells count="3">
    <mergeCell ref="B2:B3"/>
    <mergeCell ref="C2:C3"/>
    <mergeCell ref="D2:D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18"/>
  <sheetViews>
    <sheetView workbookViewId="0">
      <selection activeCell="C15" sqref="C15"/>
    </sheetView>
  </sheetViews>
  <sheetFormatPr baseColWidth="10" defaultRowHeight="15" x14ac:dyDescent="0.25"/>
  <cols>
    <col min="2" max="7" width="14" customWidth="1"/>
  </cols>
  <sheetData>
    <row r="1" spans="2:7" ht="15.75" thickBot="1" x14ac:dyDescent="0.3"/>
    <row r="2" spans="2:7" ht="16.5" thickTop="1" thickBot="1" x14ac:dyDescent="0.3">
      <c r="B2" s="190" t="s">
        <v>74</v>
      </c>
      <c r="C2" s="190" t="s">
        <v>75</v>
      </c>
      <c r="D2" s="190" t="s">
        <v>76</v>
      </c>
      <c r="E2" s="190" t="s">
        <v>77</v>
      </c>
      <c r="F2" s="190" t="s">
        <v>78</v>
      </c>
      <c r="G2" s="190" t="s">
        <v>79</v>
      </c>
    </row>
    <row r="3" spans="2:7" ht="15.75" thickTop="1" x14ac:dyDescent="0.25">
      <c r="B3" s="194" t="s">
        <v>142</v>
      </c>
      <c r="C3" s="189">
        <v>160</v>
      </c>
      <c r="D3" s="189">
        <v>8</v>
      </c>
      <c r="E3" s="189">
        <f>+C3+D3</f>
        <v>168</v>
      </c>
      <c r="F3" s="189">
        <f>+IF(E3&gt;165,200,0)</f>
        <v>200</v>
      </c>
      <c r="G3" s="189">
        <f>+D3*15+F3+C3*10</f>
        <v>1920</v>
      </c>
    </row>
    <row r="4" spans="2:7" x14ac:dyDescent="0.25">
      <c r="B4" s="195" t="s">
        <v>143</v>
      </c>
      <c r="C4" s="186">
        <v>155</v>
      </c>
      <c r="D4" s="186">
        <v>12</v>
      </c>
      <c r="E4" s="186">
        <f t="shared" ref="E4:E8" si="0">+C4+D4</f>
        <v>167</v>
      </c>
      <c r="F4" s="186">
        <f t="shared" ref="F4:F8" si="1">+IF(E4&gt;165,200,0)</f>
        <v>200</v>
      </c>
      <c r="G4" s="186">
        <f t="shared" ref="G4:G8" si="2">+D4*15+F4+C4*10</f>
        <v>1930</v>
      </c>
    </row>
    <row r="5" spans="2:7" x14ac:dyDescent="0.25">
      <c r="B5" s="195" t="s">
        <v>144</v>
      </c>
      <c r="C5" s="186">
        <v>146</v>
      </c>
      <c r="D5" s="186">
        <v>1</v>
      </c>
      <c r="E5" s="186">
        <f t="shared" si="0"/>
        <v>147</v>
      </c>
      <c r="F5" s="186">
        <f t="shared" si="1"/>
        <v>0</v>
      </c>
      <c r="G5" s="186">
        <f t="shared" si="2"/>
        <v>1475</v>
      </c>
    </row>
    <row r="6" spans="2:7" x14ac:dyDescent="0.25">
      <c r="B6" s="195" t="s">
        <v>80</v>
      </c>
      <c r="C6" s="186">
        <v>158</v>
      </c>
      <c r="D6" s="186">
        <v>2</v>
      </c>
      <c r="E6" s="186">
        <f t="shared" si="0"/>
        <v>160</v>
      </c>
      <c r="F6" s="186">
        <f t="shared" si="1"/>
        <v>0</v>
      </c>
      <c r="G6" s="186">
        <f t="shared" si="2"/>
        <v>1610</v>
      </c>
    </row>
    <row r="7" spans="2:7" x14ac:dyDescent="0.25">
      <c r="B7" s="195" t="s">
        <v>145</v>
      </c>
      <c r="C7" s="186">
        <v>149</v>
      </c>
      <c r="D7" s="186">
        <v>6</v>
      </c>
      <c r="E7" s="186">
        <f t="shared" si="0"/>
        <v>155</v>
      </c>
      <c r="F7" s="186">
        <f t="shared" si="1"/>
        <v>0</v>
      </c>
      <c r="G7" s="186">
        <f t="shared" si="2"/>
        <v>1580</v>
      </c>
    </row>
    <row r="8" spans="2:7" ht="15.75" thickBot="1" x14ac:dyDescent="0.3">
      <c r="B8" s="196" t="s">
        <v>81</v>
      </c>
      <c r="C8" s="187">
        <v>160</v>
      </c>
      <c r="D8" s="187">
        <v>10</v>
      </c>
      <c r="E8" s="187">
        <f t="shared" si="0"/>
        <v>170</v>
      </c>
      <c r="F8" s="187">
        <f t="shared" si="1"/>
        <v>200</v>
      </c>
      <c r="G8" s="187">
        <f t="shared" si="2"/>
        <v>1950</v>
      </c>
    </row>
    <row r="9" spans="2:7" ht="15.75" thickTop="1" x14ac:dyDescent="0.25">
      <c r="B9" s="191" t="s">
        <v>32</v>
      </c>
      <c r="C9" s="192">
        <f>SUM(C3:C8)</f>
        <v>928</v>
      </c>
      <c r="D9" s="192">
        <f t="shared" ref="D9:G9" si="3">SUM(D3:D8)</f>
        <v>39</v>
      </c>
      <c r="E9" s="192">
        <f t="shared" si="3"/>
        <v>967</v>
      </c>
      <c r="F9" s="192">
        <f t="shared" si="3"/>
        <v>600</v>
      </c>
      <c r="G9" s="192">
        <f t="shared" si="3"/>
        <v>10465</v>
      </c>
    </row>
    <row r="10" spans="2:7" x14ac:dyDescent="0.25">
      <c r="B10" s="188" t="s">
        <v>42</v>
      </c>
      <c r="C10" s="186">
        <f>MAX(C3:C8)</f>
        <v>160</v>
      </c>
      <c r="D10" s="186">
        <f t="shared" ref="D10:G10" si="4">MAX(D3:D8)</f>
        <v>12</v>
      </c>
      <c r="E10" s="186">
        <f t="shared" si="4"/>
        <v>170</v>
      </c>
      <c r="F10" s="186">
        <f t="shared" si="4"/>
        <v>200</v>
      </c>
      <c r="G10" s="186">
        <f t="shared" si="4"/>
        <v>1950</v>
      </c>
    </row>
    <row r="11" spans="2:7" x14ac:dyDescent="0.25">
      <c r="B11" s="188" t="s">
        <v>43</v>
      </c>
      <c r="C11" s="186">
        <f>MIN(C3:C8)</f>
        <v>146</v>
      </c>
      <c r="D11" s="186">
        <f t="shared" ref="D11:G11" si="5">MIN(D3:D8)</f>
        <v>1</v>
      </c>
      <c r="E11" s="186">
        <f t="shared" si="5"/>
        <v>147</v>
      </c>
      <c r="F11" s="186">
        <f t="shared" si="5"/>
        <v>0</v>
      </c>
      <c r="G11" s="186">
        <f t="shared" si="5"/>
        <v>1475</v>
      </c>
    </row>
    <row r="12" spans="2:7" ht="15.75" thickBot="1" x14ac:dyDescent="0.3">
      <c r="B12" s="193" t="s">
        <v>55</v>
      </c>
      <c r="C12" s="197">
        <f>AVERAGE(C3:C8)</f>
        <v>154.66666666666666</v>
      </c>
      <c r="D12" s="197">
        <f t="shared" ref="D12:G12" si="6">AVERAGE(D3:D8)</f>
        <v>6.5</v>
      </c>
      <c r="E12" s="197">
        <f t="shared" si="6"/>
        <v>161.16666666666666</v>
      </c>
      <c r="F12" s="197">
        <f t="shared" si="6"/>
        <v>100</v>
      </c>
      <c r="G12" s="197">
        <f t="shared" si="6"/>
        <v>1744.1666666666667</v>
      </c>
    </row>
    <row r="13" spans="2:7" ht="15.75" thickTop="1" x14ac:dyDescent="0.25"/>
    <row r="17" spans="3:4" x14ac:dyDescent="0.25">
      <c r="C17" s="15"/>
    </row>
    <row r="18" spans="3:4" x14ac:dyDescent="0.25">
      <c r="D18" s="15"/>
    </row>
  </sheetData>
  <sheetProtection algorithmName="SHA-512" hashValue="dSXn03lSgU/UwkorNjSabygrsX6ci86iaQVq9+xRfIIxh5oH2/dRD+H/LIWOzk3IIec5/5ldYfWO3m5g5DE7jg==" saltValue="y5f5bM2B0TppDTFCIAcs1g==" spinCount="100000" sheet="1" objects="1" scenario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G10"/>
  <sheetViews>
    <sheetView workbookViewId="0">
      <selection activeCell="C12" sqref="C12"/>
    </sheetView>
  </sheetViews>
  <sheetFormatPr baseColWidth="10" defaultRowHeight="15" x14ac:dyDescent="0.25"/>
  <cols>
    <col min="2" max="2" width="11.7109375" customWidth="1"/>
    <col min="3" max="7" width="16.42578125" customWidth="1"/>
  </cols>
  <sheetData>
    <row r="3" spans="2:7" x14ac:dyDescent="0.25">
      <c r="B3" s="198"/>
      <c r="C3" s="198"/>
      <c r="D3" s="199"/>
      <c r="E3" s="198"/>
      <c r="F3" s="198"/>
      <c r="G3" s="198"/>
    </row>
    <row r="4" spans="2:7" ht="15.75" thickBot="1" x14ac:dyDescent="0.3">
      <c r="B4" s="198"/>
      <c r="C4" s="198"/>
      <c r="D4" s="198"/>
      <c r="E4" s="198"/>
      <c r="F4" s="198"/>
      <c r="G4" s="198"/>
    </row>
    <row r="5" spans="2:7" ht="30" thickTop="1" thickBot="1" x14ac:dyDescent="0.3">
      <c r="B5" s="202"/>
      <c r="C5" s="203" t="s">
        <v>149</v>
      </c>
      <c r="D5" s="204" t="s">
        <v>150</v>
      </c>
      <c r="E5" s="204" t="s">
        <v>151</v>
      </c>
      <c r="F5" s="205" t="s">
        <v>152</v>
      </c>
      <c r="G5" s="206" t="s">
        <v>18</v>
      </c>
    </row>
    <row r="6" spans="2:7" ht="15.75" thickTop="1" x14ac:dyDescent="0.25">
      <c r="B6" s="207" t="s">
        <v>146</v>
      </c>
      <c r="C6" s="210">
        <v>150000</v>
      </c>
      <c r="D6" s="211">
        <v>175000</v>
      </c>
      <c r="E6" s="211">
        <v>300000</v>
      </c>
      <c r="F6" s="212">
        <v>390000</v>
      </c>
      <c r="G6" s="221">
        <f>SUM(C6:F6)</f>
        <v>1015000</v>
      </c>
    </row>
    <row r="7" spans="2:7" x14ac:dyDescent="0.25">
      <c r="B7" s="208" t="s">
        <v>147</v>
      </c>
      <c r="C7" s="213">
        <v>200000</v>
      </c>
      <c r="D7" s="214">
        <v>210000</v>
      </c>
      <c r="E7" s="214">
        <v>280000</v>
      </c>
      <c r="F7" s="215">
        <v>300000</v>
      </c>
      <c r="G7" s="219">
        <f t="shared" ref="G7:G9" si="0">SUM(C7:F7)</f>
        <v>990000</v>
      </c>
    </row>
    <row r="8" spans="2:7" ht="15.75" thickBot="1" x14ac:dyDescent="0.3">
      <c r="B8" s="209" t="s">
        <v>148</v>
      </c>
      <c r="C8" s="216">
        <v>180000</v>
      </c>
      <c r="D8" s="217">
        <v>220000</v>
      </c>
      <c r="E8" s="217">
        <v>280000</v>
      </c>
      <c r="F8" s="218">
        <v>185000</v>
      </c>
      <c r="G8" s="220">
        <f t="shared" si="0"/>
        <v>865000</v>
      </c>
    </row>
    <row r="9" spans="2:7" ht="16.5" thickTop="1" thickBot="1" x14ac:dyDescent="0.3">
      <c r="B9" s="201" t="s">
        <v>18</v>
      </c>
      <c r="C9" s="222">
        <f>SUM(C6:C8)</f>
        <v>530000</v>
      </c>
      <c r="D9" s="223">
        <f t="shared" ref="D9:F9" si="1">SUM(D6:D8)</f>
        <v>605000</v>
      </c>
      <c r="E9" s="223">
        <f t="shared" si="1"/>
        <v>860000</v>
      </c>
      <c r="F9" s="224">
        <f t="shared" si="1"/>
        <v>875000</v>
      </c>
      <c r="G9" s="225">
        <f t="shared" si="0"/>
        <v>2870000</v>
      </c>
    </row>
    <row r="10" spans="2:7" ht="15.75" thickTop="1" x14ac:dyDescent="0.25"/>
  </sheetData>
  <sheetProtection algorithmName="SHA-512" hashValue="OWD1BVwIIQxD1MVM+kkk65QvlEJlWii/xNMQZ6N3oZcvevfrNQp7qfk9GJl11STLaDVwgknOkarUjruo/DS2BQ==" saltValue="7G623J/x8YWt6GujBi8qPQ==" spinCount="100000" sheet="1" objects="1" scenario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G10"/>
  <sheetViews>
    <sheetView workbookViewId="0">
      <selection activeCell="C12" sqref="C12"/>
    </sheetView>
  </sheetViews>
  <sheetFormatPr baseColWidth="10" defaultRowHeight="15" x14ac:dyDescent="0.25"/>
  <cols>
    <col min="2" max="2" width="11.140625" customWidth="1"/>
    <col min="3" max="6" width="13.85546875" customWidth="1"/>
    <col min="7" max="7" width="14.5703125" bestFit="1" customWidth="1"/>
  </cols>
  <sheetData>
    <row r="3" spans="2:7" x14ac:dyDescent="0.25">
      <c r="B3" s="198"/>
      <c r="C3" s="198"/>
      <c r="D3" s="199"/>
      <c r="E3" s="198"/>
      <c r="F3" s="198"/>
      <c r="G3" s="198"/>
    </row>
    <row r="4" spans="2:7" ht="15.75" thickBot="1" x14ac:dyDescent="0.3">
      <c r="B4" s="198"/>
      <c r="C4" s="198"/>
      <c r="D4" s="198"/>
      <c r="E4" s="198"/>
      <c r="F4" s="198"/>
      <c r="G4" s="198"/>
    </row>
    <row r="5" spans="2:7" ht="30" thickTop="1" thickBot="1" x14ac:dyDescent="0.3">
      <c r="B5" s="202"/>
      <c r="C5" s="203" t="s">
        <v>149</v>
      </c>
      <c r="D5" s="204" t="s">
        <v>150</v>
      </c>
      <c r="E5" s="204" t="s">
        <v>151</v>
      </c>
      <c r="F5" s="205" t="s">
        <v>152</v>
      </c>
      <c r="G5" s="206" t="s">
        <v>18</v>
      </c>
    </row>
    <row r="6" spans="2:7" ht="15.75" thickTop="1" x14ac:dyDescent="0.25">
      <c r="B6" s="207" t="s">
        <v>146</v>
      </c>
      <c r="C6" s="210">
        <v>60000</v>
      </c>
      <c r="D6" s="211">
        <v>90000</v>
      </c>
      <c r="E6" s="211">
        <v>150000</v>
      </c>
      <c r="F6" s="212">
        <v>100000</v>
      </c>
      <c r="G6" s="221">
        <f>SUM(C6:F6)</f>
        <v>400000</v>
      </c>
    </row>
    <row r="7" spans="2:7" x14ac:dyDescent="0.25">
      <c r="B7" s="208" t="s">
        <v>147</v>
      </c>
      <c r="C7" s="213">
        <v>180000</v>
      </c>
      <c r="D7" s="214">
        <v>100000</v>
      </c>
      <c r="E7" s="214">
        <v>100000</v>
      </c>
      <c r="F7" s="215">
        <v>75000</v>
      </c>
      <c r="G7" s="219">
        <f t="shared" ref="G7:G9" si="0">SUM(C7:F7)</f>
        <v>455000</v>
      </c>
    </row>
    <row r="8" spans="2:7" ht="15.75" thickBot="1" x14ac:dyDescent="0.3">
      <c r="B8" s="209" t="s">
        <v>148</v>
      </c>
      <c r="C8" s="216">
        <v>160000</v>
      </c>
      <c r="D8" s="217">
        <v>100000</v>
      </c>
      <c r="E8" s="217">
        <v>100000</v>
      </c>
      <c r="F8" s="218">
        <v>100000</v>
      </c>
      <c r="G8" s="220">
        <f t="shared" si="0"/>
        <v>460000</v>
      </c>
    </row>
    <row r="9" spans="2:7" ht="16.5" thickTop="1" thickBot="1" x14ac:dyDescent="0.3">
      <c r="B9" s="201" t="s">
        <v>18</v>
      </c>
      <c r="C9" s="222">
        <f>SUM(C6:C8)</f>
        <v>400000</v>
      </c>
      <c r="D9" s="223">
        <f t="shared" ref="D9:F9" si="1">SUM(D6:D8)</f>
        <v>290000</v>
      </c>
      <c r="E9" s="223">
        <f t="shared" si="1"/>
        <v>350000</v>
      </c>
      <c r="F9" s="224">
        <f t="shared" si="1"/>
        <v>275000</v>
      </c>
      <c r="G9" s="225">
        <f t="shared" si="0"/>
        <v>1315000</v>
      </c>
    </row>
    <row r="10" spans="2:7" ht="15.75" thickTop="1" x14ac:dyDescent="0.25"/>
  </sheetData>
  <sheetProtection algorithmName="SHA-512" hashValue="KCy7QnzMOMsvsMlrB84ybarHSn+lL3csw9OyUTa2I8Ve2ypPZOEcvZ2twjw4ACuN06RlLD+Uq69ucchkhlQryQ==" saltValue="cyH7Q1loUWbYhtulDJlpoA==" spinCount="100000" sheet="1" objects="1" scenarios="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G10"/>
  <sheetViews>
    <sheetView workbookViewId="0">
      <selection activeCell="C12" sqref="C12"/>
    </sheetView>
  </sheetViews>
  <sheetFormatPr baseColWidth="10" defaultRowHeight="15" x14ac:dyDescent="0.25"/>
  <cols>
    <col min="3" max="6" width="15.5703125" bestFit="1" customWidth="1"/>
    <col min="7" max="7" width="17.42578125" bestFit="1" customWidth="1"/>
  </cols>
  <sheetData>
    <row r="3" spans="2:7" x14ac:dyDescent="0.25">
      <c r="B3" s="198"/>
      <c r="C3" s="198"/>
      <c r="D3" s="199"/>
      <c r="E3" s="198"/>
      <c r="F3" s="198"/>
      <c r="G3" s="198"/>
    </row>
    <row r="4" spans="2:7" ht="15.75" thickBot="1" x14ac:dyDescent="0.3">
      <c r="B4" s="198"/>
      <c r="C4" s="198"/>
      <c r="D4" s="198"/>
      <c r="E4" s="198"/>
      <c r="F4" s="198"/>
      <c r="G4" s="198"/>
    </row>
    <row r="5" spans="2:7" ht="30" thickTop="1" thickBot="1" x14ac:dyDescent="0.3">
      <c r="B5" s="202"/>
      <c r="C5" s="203" t="s">
        <v>149</v>
      </c>
      <c r="D5" s="204" t="s">
        <v>150</v>
      </c>
      <c r="E5" s="204" t="s">
        <v>151</v>
      </c>
      <c r="F5" s="205" t="s">
        <v>152</v>
      </c>
      <c r="G5" s="206" t="s">
        <v>18</v>
      </c>
    </row>
    <row r="6" spans="2:7" ht="15.75" thickTop="1" x14ac:dyDescent="0.25">
      <c r="B6" s="207" t="s">
        <v>146</v>
      </c>
      <c r="C6" s="210">
        <f>+'Ejercicio 11A'!C6-'Ejercicio 11B'!C6</f>
        <v>90000</v>
      </c>
      <c r="D6" s="211">
        <f>+'Ejercicio 11A'!D6-'Ejercicio 11B'!D6</f>
        <v>85000</v>
      </c>
      <c r="E6" s="211">
        <f>+'Ejercicio 11A'!E6-'Ejercicio 11B'!E6</f>
        <v>150000</v>
      </c>
      <c r="F6" s="212">
        <f>+'Ejercicio 11A'!F6-'Ejercicio 11B'!F6</f>
        <v>290000</v>
      </c>
      <c r="G6" s="221">
        <f>+'Ejercicio 11A'!G6-'Ejercicio 11B'!G6</f>
        <v>615000</v>
      </c>
    </row>
    <row r="7" spans="2:7" x14ac:dyDescent="0.25">
      <c r="B7" s="208" t="s">
        <v>147</v>
      </c>
      <c r="C7" s="213">
        <f>+'Ejercicio 11A'!C7-'Ejercicio 11B'!C7</f>
        <v>20000</v>
      </c>
      <c r="D7" s="214">
        <f>+'Ejercicio 11A'!D7-'Ejercicio 11B'!D7</f>
        <v>110000</v>
      </c>
      <c r="E7" s="214">
        <f>+'Ejercicio 11A'!E7-'Ejercicio 11B'!E7</f>
        <v>180000</v>
      </c>
      <c r="F7" s="215">
        <f>+'Ejercicio 11A'!F7-'Ejercicio 11B'!F7</f>
        <v>225000</v>
      </c>
      <c r="G7" s="219">
        <f>+'Ejercicio 11A'!G7-'Ejercicio 11B'!G7</f>
        <v>535000</v>
      </c>
    </row>
    <row r="8" spans="2:7" ht="15.75" thickBot="1" x14ac:dyDescent="0.3">
      <c r="B8" s="209" t="s">
        <v>148</v>
      </c>
      <c r="C8" s="216">
        <f>+'Ejercicio 11A'!C8-'Ejercicio 11B'!C8</f>
        <v>20000</v>
      </c>
      <c r="D8" s="217">
        <f>+'Ejercicio 11A'!D8-'Ejercicio 11B'!D8</f>
        <v>120000</v>
      </c>
      <c r="E8" s="217">
        <f>+'Ejercicio 11A'!E8-'Ejercicio 11B'!E8</f>
        <v>180000</v>
      </c>
      <c r="F8" s="218">
        <f>+'Ejercicio 11A'!F8-'Ejercicio 11B'!F8</f>
        <v>85000</v>
      </c>
      <c r="G8" s="220">
        <f>+'Ejercicio 11A'!G8-'Ejercicio 11B'!G8</f>
        <v>405000</v>
      </c>
    </row>
    <row r="9" spans="2:7" ht="16.5" thickTop="1" thickBot="1" x14ac:dyDescent="0.3">
      <c r="B9" s="201" t="s">
        <v>18</v>
      </c>
      <c r="C9" s="222">
        <f>+'Ejercicio 11A'!C9-'Ejercicio 11B'!C9</f>
        <v>130000</v>
      </c>
      <c r="D9" s="223">
        <f>+'Ejercicio 11A'!D9-'Ejercicio 11B'!D9</f>
        <v>315000</v>
      </c>
      <c r="E9" s="223">
        <f>+'Ejercicio 11A'!E9-'Ejercicio 11B'!E9</f>
        <v>510000</v>
      </c>
      <c r="F9" s="224">
        <f>+'Ejercicio 11A'!F9-'Ejercicio 11B'!F9</f>
        <v>600000</v>
      </c>
      <c r="G9" s="225">
        <f>+'Ejercicio 11A'!G9-'Ejercicio 11B'!G9</f>
        <v>1555000</v>
      </c>
    </row>
    <row r="10" spans="2:7" ht="15.75" thickTop="1" x14ac:dyDescent="0.25"/>
  </sheetData>
  <sheetProtection algorithmName="SHA-512" hashValue="qJwOVXcisIVEbOBWMaEy8QU2x19p8zVaPges2M4Aq4w8j38d9dWaBKs/BnLstVc/v5Jb0+pl/d718BlDcAIZtw==" saltValue="dwkjYKQiBHnIaHCIZfcIZA==" spinCount="100000" sheet="1" objects="1" scenarios="1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F9"/>
  <sheetViews>
    <sheetView workbookViewId="0">
      <selection activeCell="B12" sqref="B12"/>
    </sheetView>
  </sheetViews>
  <sheetFormatPr baseColWidth="10" defaultRowHeight="15" x14ac:dyDescent="0.25"/>
  <cols>
    <col min="2" max="6" width="11.85546875" customWidth="1"/>
  </cols>
  <sheetData>
    <row r="1" spans="2:6" ht="15.75" thickBot="1" x14ac:dyDescent="0.3"/>
    <row r="2" spans="2:6" ht="20.25" customHeight="1" x14ac:dyDescent="0.25">
      <c r="B2" s="380"/>
      <c r="C2" s="382" t="s">
        <v>158</v>
      </c>
      <c r="D2" s="382" t="s">
        <v>161</v>
      </c>
      <c r="E2" s="382" t="s">
        <v>159</v>
      </c>
      <c r="F2" s="384" t="s">
        <v>162</v>
      </c>
    </row>
    <row r="3" spans="2:6" ht="11.25" customHeight="1" thickBot="1" x14ac:dyDescent="0.3">
      <c r="B3" s="381"/>
      <c r="C3" s="383"/>
      <c r="D3" s="383"/>
      <c r="E3" s="383"/>
      <c r="F3" s="385"/>
    </row>
    <row r="4" spans="2:6" ht="15.75" thickBot="1" x14ac:dyDescent="0.3">
      <c r="B4" s="227" t="s">
        <v>153</v>
      </c>
      <c r="C4" s="200">
        <v>7.3</v>
      </c>
      <c r="D4" s="200">
        <v>6.5</v>
      </c>
      <c r="E4" s="200">
        <v>8</v>
      </c>
      <c r="F4" s="228">
        <f>AVERAGE(C4:E4)</f>
        <v>7.2666666666666666</v>
      </c>
    </row>
    <row r="5" spans="2:6" ht="15.75" thickBot="1" x14ac:dyDescent="0.3">
      <c r="B5" s="227" t="s">
        <v>160</v>
      </c>
      <c r="C5" s="200">
        <v>5.4</v>
      </c>
      <c r="D5" s="200">
        <v>6</v>
      </c>
      <c r="E5" s="200">
        <v>4.8</v>
      </c>
      <c r="F5" s="228">
        <f t="shared" ref="F5:F9" si="0">AVERAGE(C5:E5)</f>
        <v>5.3999999999999995</v>
      </c>
    </row>
    <row r="6" spans="2:6" ht="15.75" thickBot="1" x14ac:dyDescent="0.3">
      <c r="B6" s="227" t="s">
        <v>154</v>
      </c>
      <c r="C6" s="200">
        <v>6.5</v>
      </c>
      <c r="D6" s="200">
        <v>7</v>
      </c>
      <c r="E6" s="200">
        <v>8.5</v>
      </c>
      <c r="F6" s="228">
        <f t="shared" si="0"/>
        <v>7.333333333333333</v>
      </c>
    </row>
    <row r="7" spans="2:6" ht="15.75" thickBot="1" x14ac:dyDescent="0.3">
      <c r="B7" s="227" t="s">
        <v>155</v>
      </c>
      <c r="C7" s="200">
        <v>5.8</v>
      </c>
      <c r="D7" s="200">
        <v>7.3</v>
      </c>
      <c r="E7" s="200">
        <v>6</v>
      </c>
      <c r="F7" s="228">
        <f t="shared" si="0"/>
        <v>6.3666666666666671</v>
      </c>
    </row>
    <row r="8" spans="2:6" ht="15.75" thickBot="1" x14ac:dyDescent="0.3">
      <c r="B8" s="227" t="s">
        <v>156</v>
      </c>
      <c r="C8" s="200">
        <v>4.5</v>
      </c>
      <c r="D8" s="200">
        <v>4</v>
      </c>
      <c r="E8" s="200">
        <v>6</v>
      </c>
      <c r="F8" s="228">
        <f t="shared" si="0"/>
        <v>4.833333333333333</v>
      </c>
    </row>
    <row r="9" spans="2:6" ht="15.75" thickBot="1" x14ac:dyDescent="0.3">
      <c r="B9" s="227" t="s">
        <v>157</v>
      </c>
      <c r="C9" s="200">
        <v>8.5</v>
      </c>
      <c r="D9" s="200">
        <v>7.3</v>
      </c>
      <c r="E9" s="200">
        <v>5.8</v>
      </c>
      <c r="F9" s="228">
        <f t="shared" si="0"/>
        <v>7.2</v>
      </c>
    </row>
  </sheetData>
  <sheetProtection algorithmName="SHA-512" hashValue="QV7RBw5L8NgtQbskT/Nh2rU841EOJBjlCBNaGpwhwH2own1N3l+GHgXxA8F8gjnoQrl4NJGiIyAx+swacYeG0w==" saltValue="FYWyTKroWGL+pp41Ry/JYg==" spinCount="100000" sheet="1" objects="1" scenarios="1"/>
  <mergeCells count="5">
    <mergeCell ref="B2:B3"/>
    <mergeCell ref="C2:C3"/>
    <mergeCell ref="E2:E3"/>
    <mergeCell ref="D2:D3"/>
    <mergeCell ref="F2: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G9"/>
  <sheetViews>
    <sheetView workbookViewId="0">
      <selection activeCell="B12" sqref="B12"/>
    </sheetView>
  </sheetViews>
  <sheetFormatPr baseColWidth="10" defaultRowHeight="15" x14ac:dyDescent="0.25"/>
  <cols>
    <col min="2" max="6" width="11.85546875" customWidth="1"/>
  </cols>
  <sheetData>
    <row r="1" spans="2:7" ht="15.75" thickBot="1" x14ac:dyDescent="0.3"/>
    <row r="2" spans="2:7" ht="20.25" customHeight="1" x14ac:dyDescent="0.25">
      <c r="B2" s="380"/>
      <c r="C2" s="382" t="s">
        <v>158</v>
      </c>
      <c r="D2" s="382" t="s">
        <v>161</v>
      </c>
      <c r="E2" s="382" t="s">
        <v>159</v>
      </c>
      <c r="F2" s="384" t="s">
        <v>162</v>
      </c>
      <c r="G2" s="226"/>
    </row>
    <row r="3" spans="2:7" ht="15.75" thickBot="1" x14ac:dyDescent="0.3">
      <c r="B3" s="381"/>
      <c r="C3" s="383"/>
      <c r="D3" s="383"/>
      <c r="E3" s="383"/>
      <c r="F3" s="385"/>
      <c r="G3" s="226"/>
    </row>
    <row r="4" spans="2:7" ht="15.75" thickBot="1" x14ac:dyDescent="0.3">
      <c r="B4" s="227" t="s">
        <v>153</v>
      </c>
      <c r="C4" s="200">
        <v>5.7</v>
      </c>
      <c r="D4" s="200">
        <v>6.5</v>
      </c>
      <c r="E4" s="200">
        <v>7</v>
      </c>
      <c r="F4" s="228">
        <f>AVERAGE(C4:E4)</f>
        <v>6.3999999999999995</v>
      </c>
      <c r="G4" s="226"/>
    </row>
    <row r="5" spans="2:7" ht="15.75" thickBot="1" x14ac:dyDescent="0.3">
      <c r="B5" s="227" t="s">
        <v>160</v>
      </c>
      <c r="C5" s="200">
        <v>4.5999999999999996</v>
      </c>
      <c r="D5" s="200">
        <v>6</v>
      </c>
      <c r="E5" s="200">
        <v>5.5</v>
      </c>
      <c r="F5" s="228">
        <f t="shared" ref="F5:F9" si="0">AVERAGE(C5:E5)</f>
        <v>5.3666666666666671</v>
      </c>
      <c r="G5" s="226"/>
    </row>
    <row r="6" spans="2:7" ht="15.75" thickBot="1" x14ac:dyDescent="0.3">
      <c r="B6" s="227" t="s">
        <v>154</v>
      </c>
      <c r="C6" s="200">
        <v>3.7</v>
      </c>
      <c r="D6" s="200">
        <v>6.2</v>
      </c>
      <c r="E6" s="200">
        <v>8</v>
      </c>
      <c r="F6" s="228">
        <f t="shared" si="0"/>
        <v>5.9666666666666659</v>
      </c>
      <c r="G6" s="226"/>
    </row>
    <row r="7" spans="2:7" ht="15.75" thickBot="1" x14ac:dyDescent="0.3">
      <c r="B7" s="227" t="s">
        <v>155</v>
      </c>
      <c r="C7" s="200">
        <v>7.8</v>
      </c>
      <c r="D7" s="200">
        <v>7</v>
      </c>
      <c r="E7" s="200">
        <v>6.9</v>
      </c>
      <c r="F7" s="228">
        <f t="shared" si="0"/>
        <v>7.2333333333333343</v>
      </c>
      <c r="G7" s="226"/>
    </row>
    <row r="8" spans="2:7" ht="15.75" thickBot="1" x14ac:dyDescent="0.3">
      <c r="B8" s="227" t="s">
        <v>156</v>
      </c>
      <c r="C8" s="200">
        <v>6.5</v>
      </c>
      <c r="D8" s="200">
        <v>6</v>
      </c>
      <c r="E8" s="200">
        <v>5.5</v>
      </c>
      <c r="F8" s="228">
        <f t="shared" si="0"/>
        <v>6</v>
      </c>
      <c r="G8" s="226"/>
    </row>
    <row r="9" spans="2:7" ht="15.75" thickBot="1" x14ac:dyDescent="0.3">
      <c r="B9" s="227" t="s">
        <v>157</v>
      </c>
      <c r="C9" s="200">
        <v>4.5</v>
      </c>
      <c r="D9" s="200">
        <v>5.6</v>
      </c>
      <c r="E9" s="200">
        <v>5</v>
      </c>
      <c r="F9" s="228">
        <f t="shared" si="0"/>
        <v>5.0333333333333332</v>
      </c>
      <c r="G9" s="226"/>
    </row>
  </sheetData>
  <sheetProtection algorithmName="SHA-512" hashValue="Z/uagepSj5V+QTUr8aNEpUYDOu3bK6CAxnKU6HBCTd6JWYcg80OECSgvARmJctpIJ9rdEwbl4yJSTvljKZBPwg==" saltValue="M+8878Wf9mwbV8x44AghnQ==" spinCount="100000" sheet="1" objects="1" scenarios="1"/>
  <mergeCells count="5">
    <mergeCell ref="B2:B3"/>
    <mergeCell ref="C2:C3"/>
    <mergeCell ref="D2:D3"/>
    <mergeCell ref="E2:E3"/>
    <mergeCell ref="F2: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G9"/>
  <sheetViews>
    <sheetView workbookViewId="0">
      <selection activeCell="B12" sqref="B12"/>
    </sheetView>
  </sheetViews>
  <sheetFormatPr baseColWidth="10" defaultRowHeight="15" x14ac:dyDescent="0.25"/>
  <cols>
    <col min="2" max="6" width="11.85546875" customWidth="1"/>
  </cols>
  <sheetData>
    <row r="1" spans="2:7" ht="15.75" thickBot="1" x14ac:dyDescent="0.3"/>
    <row r="2" spans="2:7" ht="20.25" customHeight="1" x14ac:dyDescent="0.25">
      <c r="B2" s="380"/>
      <c r="C2" s="382" t="s">
        <v>158</v>
      </c>
      <c r="D2" s="382" t="s">
        <v>161</v>
      </c>
      <c r="E2" s="382" t="s">
        <v>159</v>
      </c>
      <c r="F2" s="384" t="s">
        <v>162</v>
      </c>
      <c r="G2" s="226"/>
    </row>
    <row r="3" spans="2:7" ht="15.75" thickBot="1" x14ac:dyDescent="0.3">
      <c r="B3" s="381"/>
      <c r="C3" s="383"/>
      <c r="D3" s="383"/>
      <c r="E3" s="383"/>
      <c r="F3" s="385"/>
      <c r="G3" s="226"/>
    </row>
    <row r="4" spans="2:7" ht="15.75" thickBot="1" x14ac:dyDescent="0.3">
      <c r="B4" s="227" t="s">
        <v>153</v>
      </c>
      <c r="C4" s="200">
        <f>+AVERAGE('Ejercicio 12A'!C4,'Ejercicio 12B'!C4)</f>
        <v>6.5</v>
      </c>
      <c r="D4" s="200">
        <f>+AVERAGE('Ejercicio 12A'!D4,'Ejercicio 12B'!D4)</f>
        <v>6.5</v>
      </c>
      <c r="E4" s="200">
        <f>+AVERAGE('Ejercicio 12A'!E4,'Ejercicio 12B'!E4)</f>
        <v>7.5</v>
      </c>
      <c r="F4" s="228">
        <f>AVERAGE(C4:E4)</f>
        <v>6.833333333333333</v>
      </c>
      <c r="G4" s="226"/>
    </row>
    <row r="5" spans="2:7" ht="15.75" thickBot="1" x14ac:dyDescent="0.3">
      <c r="B5" s="227" t="s">
        <v>160</v>
      </c>
      <c r="C5" s="200">
        <f>+AVERAGE('Ejercicio 12A'!C5,'Ejercicio 12B'!C5)</f>
        <v>5</v>
      </c>
      <c r="D5" s="200">
        <f>+AVERAGE('Ejercicio 12A'!D5,'Ejercicio 12B'!D5)</f>
        <v>6</v>
      </c>
      <c r="E5" s="200">
        <f>+AVERAGE('Ejercicio 12A'!E5,'Ejercicio 12B'!E5)</f>
        <v>5.15</v>
      </c>
      <c r="F5" s="228">
        <f t="shared" ref="F5:F9" si="0">AVERAGE(C5:E5)</f>
        <v>5.3833333333333329</v>
      </c>
      <c r="G5" s="226"/>
    </row>
    <row r="6" spans="2:7" ht="15.75" thickBot="1" x14ac:dyDescent="0.3">
      <c r="B6" s="227" t="s">
        <v>154</v>
      </c>
      <c r="C6" s="200">
        <f>+AVERAGE('Ejercicio 12A'!C6,'Ejercicio 12B'!C6)</f>
        <v>5.0999999999999996</v>
      </c>
      <c r="D6" s="200">
        <f>+AVERAGE('Ejercicio 12A'!D6,'Ejercicio 12B'!D6)</f>
        <v>6.6</v>
      </c>
      <c r="E6" s="200">
        <f>+AVERAGE('Ejercicio 12A'!E6,'Ejercicio 12B'!E6)</f>
        <v>8.25</v>
      </c>
      <c r="F6" s="228">
        <f t="shared" si="0"/>
        <v>6.6499999999999995</v>
      </c>
      <c r="G6" s="226"/>
    </row>
    <row r="7" spans="2:7" ht="15.75" thickBot="1" x14ac:dyDescent="0.3">
      <c r="B7" s="227" t="s">
        <v>155</v>
      </c>
      <c r="C7" s="200">
        <f>+AVERAGE('Ejercicio 12A'!C7,'Ejercicio 12B'!C7)</f>
        <v>6.8</v>
      </c>
      <c r="D7" s="200">
        <f>+AVERAGE('Ejercicio 12A'!D7,'Ejercicio 12B'!D7)</f>
        <v>7.15</v>
      </c>
      <c r="E7" s="200">
        <f>+AVERAGE('Ejercicio 12A'!E7,'Ejercicio 12B'!E7)</f>
        <v>6.45</v>
      </c>
      <c r="F7" s="228">
        <f t="shared" si="0"/>
        <v>6.8</v>
      </c>
      <c r="G7" s="226"/>
    </row>
    <row r="8" spans="2:7" ht="15.75" thickBot="1" x14ac:dyDescent="0.3">
      <c r="B8" s="227" t="s">
        <v>156</v>
      </c>
      <c r="C8" s="200">
        <f>+AVERAGE('Ejercicio 12A'!C8,'Ejercicio 12B'!C8)</f>
        <v>5.5</v>
      </c>
      <c r="D8" s="200">
        <f>+AVERAGE('Ejercicio 12A'!D8,'Ejercicio 12B'!D8)</f>
        <v>5</v>
      </c>
      <c r="E8" s="200">
        <f>+AVERAGE('Ejercicio 12A'!E8,'Ejercicio 12B'!E8)</f>
        <v>5.75</v>
      </c>
      <c r="F8" s="228">
        <f t="shared" si="0"/>
        <v>5.416666666666667</v>
      </c>
      <c r="G8" s="226"/>
    </row>
    <row r="9" spans="2:7" ht="15.75" thickBot="1" x14ac:dyDescent="0.3">
      <c r="B9" s="227" t="s">
        <v>157</v>
      </c>
      <c r="C9" s="200">
        <f>+AVERAGE('Ejercicio 12A'!C9,'Ejercicio 12B'!C9)</f>
        <v>6.5</v>
      </c>
      <c r="D9" s="200">
        <f>+AVERAGE('Ejercicio 12A'!D9,'Ejercicio 12B'!D9)</f>
        <v>6.4499999999999993</v>
      </c>
      <c r="E9" s="200">
        <f>+AVERAGE('Ejercicio 12A'!E9,'Ejercicio 12B'!E9)</f>
        <v>5.4</v>
      </c>
      <c r="F9" s="228">
        <f t="shared" si="0"/>
        <v>6.1166666666666671</v>
      </c>
      <c r="G9" s="226"/>
    </row>
  </sheetData>
  <sheetProtection algorithmName="SHA-512" hashValue="kaXL4uNuFiEqSRNFndTNAKR0cKz0RdJN2xHnAc+BVG9J2YNs9PRlrM00Jx22jfGp4A4UgBiy4fbSL71n9JUtaA==" saltValue="GxhkIEG4rTLZSumW7OCm/A==" spinCount="100000" sheet="1" objects="1" scenarios="1"/>
  <mergeCells count="5">
    <mergeCell ref="B2:B3"/>
    <mergeCell ref="C2:C3"/>
    <mergeCell ref="D2:D3"/>
    <mergeCell ref="E2:E3"/>
    <mergeCell ref="F2: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18"/>
  <sheetViews>
    <sheetView workbookViewId="0">
      <selection activeCell="M16" sqref="M16"/>
    </sheetView>
  </sheetViews>
  <sheetFormatPr baseColWidth="10" defaultRowHeight="15" x14ac:dyDescent="0.25"/>
  <cols>
    <col min="2" max="2" width="13.7109375" bestFit="1" customWidth="1"/>
  </cols>
  <sheetData>
    <row r="1" spans="1:9" ht="33.75" x14ac:dyDescent="0.5">
      <c r="A1" s="392" t="s">
        <v>258</v>
      </c>
      <c r="B1" s="392"/>
      <c r="C1" s="392"/>
      <c r="D1" s="392"/>
      <c r="E1" s="392"/>
      <c r="F1" s="392"/>
      <c r="G1" s="392"/>
      <c r="H1" s="392"/>
      <c r="I1" s="392"/>
    </row>
    <row r="2" spans="1:9" x14ac:dyDescent="0.25">
      <c r="A2" s="249"/>
      <c r="B2" s="249"/>
      <c r="C2" s="249"/>
      <c r="D2" s="249"/>
      <c r="E2" s="249"/>
      <c r="F2" s="249"/>
      <c r="G2" s="249"/>
      <c r="H2" s="249"/>
      <c r="I2" s="249"/>
    </row>
    <row r="4" spans="1:9" x14ac:dyDescent="0.25">
      <c r="A4" s="393" t="s">
        <v>252</v>
      </c>
      <c r="B4" s="393"/>
      <c r="C4" s="393"/>
      <c r="E4" s="393" t="s">
        <v>259</v>
      </c>
      <c r="F4" s="393"/>
      <c r="H4" s="269" t="s">
        <v>260</v>
      </c>
    </row>
    <row r="5" spans="1:9" x14ac:dyDescent="0.25">
      <c r="A5" s="261" t="s">
        <v>280</v>
      </c>
      <c r="B5" s="261" t="s">
        <v>261</v>
      </c>
      <c r="C5" s="261" t="s">
        <v>262</v>
      </c>
      <c r="E5" s="261" t="s">
        <v>263</v>
      </c>
      <c r="F5" s="262">
        <v>15</v>
      </c>
      <c r="H5" s="270">
        <v>0.18</v>
      </c>
    </row>
    <row r="6" spans="1:9" x14ac:dyDescent="0.25">
      <c r="A6" s="271">
        <v>1</v>
      </c>
      <c r="B6" s="261" t="s">
        <v>264</v>
      </c>
      <c r="C6" s="272">
        <v>0</v>
      </c>
      <c r="E6" s="261" t="s">
        <v>265</v>
      </c>
      <c r="F6" s="262">
        <v>28</v>
      </c>
    </row>
    <row r="7" spans="1:9" x14ac:dyDescent="0.25">
      <c r="A7" s="271">
        <v>2</v>
      </c>
      <c r="B7" s="261" t="s">
        <v>266</v>
      </c>
      <c r="C7" s="272">
        <v>0.1</v>
      </c>
      <c r="E7" s="261" t="s">
        <v>267</v>
      </c>
      <c r="F7" s="262">
        <v>32</v>
      </c>
    </row>
    <row r="8" spans="1:9" x14ac:dyDescent="0.25">
      <c r="A8" s="271">
        <v>3</v>
      </c>
      <c r="B8" s="261" t="s">
        <v>268</v>
      </c>
      <c r="C8" s="272">
        <v>0.2</v>
      </c>
    </row>
    <row r="9" spans="1:9" ht="15.75" thickBot="1" x14ac:dyDescent="0.3"/>
    <row r="10" spans="1:9" ht="34.5" customHeight="1" thickTop="1" thickBot="1" x14ac:dyDescent="0.3">
      <c r="A10" s="280" t="s">
        <v>269</v>
      </c>
      <c r="B10" s="281" t="s">
        <v>281</v>
      </c>
      <c r="C10" s="282" t="s">
        <v>282</v>
      </c>
      <c r="D10" s="281" t="s">
        <v>270</v>
      </c>
      <c r="E10" s="281" t="s">
        <v>71</v>
      </c>
      <c r="F10" s="281" t="s">
        <v>342</v>
      </c>
      <c r="G10" s="281" t="s">
        <v>271</v>
      </c>
      <c r="H10" s="281" t="s">
        <v>260</v>
      </c>
      <c r="I10" s="283" t="s">
        <v>272</v>
      </c>
    </row>
    <row r="11" spans="1:9" ht="15.75" thickTop="1" x14ac:dyDescent="0.25">
      <c r="A11" s="273" t="s">
        <v>273</v>
      </c>
      <c r="B11" s="274">
        <v>1</v>
      </c>
      <c r="C11" s="274">
        <v>3</v>
      </c>
      <c r="D11" s="274">
        <v>3</v>
      </c>
      <c r="E11" s="285">
        <f>+IF(B11=1,C11*$F$5,IF(B11=2,C11*$F$6,C11*$F$7))</f>
        <v>45</v>
      </c>
      <c r="F11" s="285">
        <f t="shared" ref="F11:F17" si="0">+VLOOKUP(D11,tabla,3,0)*E11</f>
        <v>9</v>
      </c>
      <c r="G11" s="285">
        <f>+E11-F11</f>
        <v>36</v>
      </c>
      <c r="H11" s="285">
        <f>+G11*$H$5</f>
        <v>6.4799999999999995</v>
      </c>
      <c r="I11" s="276">
        <f>+G11+H11</f>
        <v>42.48</v>
      </c>
    </row>
    <row r="12" spans="1:9" x14ac:dyDescent="0.25">
      <c r="A12" s="277" t="s">
        <v>274</v>
      </c>
      <c r="B12" s="271">
        <v>3</v>
      </c>
      <c r="C12" s="271">
        <v>5</v>
      </c>
      <c r="D12" s="271">
        <v>1</v>
      </c>
      <c r="E12" s="285">
        <f t="shared" ref="E12:E17" si="1">+IF(B12=1,C12*$F$5,IF(B12=2,C12*$F$6,C12*$F$7))</f>
        <v>160</v>
      </c>
      <c r="F12" s="285">
        <f t="shared" si="0"/>
        <v>0</v>
      </c>
      <c r="G12" s="285">
        <f t="shared" ref="G12:G17" si="2">+E12-F12</f>
        <v>160</v>
      </c>
      <c r="H12" s="285">
        <f t="shared" ref="H12:H17" si="3">+G12*$H$5</f>
        <v>28.799999999999997</v>
      </c>
      <c r="I12" s="276">
        <f t="shared" ref="I12:I17" si="4">+G12+H12</f>
        <v>188.8</v>
      </c>
    </row>
    <row r="13" spans="1:9" x14ac:dyDescent="0.25">
      <c r="A13" s="277" t="s">
        <v>275</v>
      </c>
      <c r="B13" s="271">
        <v>1</v>
      </c>
      <c r="C13" s="271">
        <v>10</v>
      </c>
      <c r="D13" s="271">
        <v>1</v>
      </c>
      <c r="E13" s="285">
        <f t="shared" si="1"/>
        <v>150</v>
      </c>
      <c r="F13" s="285">
        <f t="shared" si="0"/>
        <v>0</v>
      </c>
      <c r="G13" s="285">
        <f t="shared" si="2"/>
        <v>150</v>
      </c>
      <c r="H13" s="285">
        <f t="shared" si="3"/>
        <v>27</v>
      </c>
      <c r="I13" s="276">
        <f t="shared" si="4"/>
        <v>177</v>
      </c>
    </row>
    <row r="14" spans="1:9" x14ac:dyDescent="0.25">
      <c r="A14" s="277" t="s">
        <v>276</v>
      </c>
      <c r="B14" s="271">
        <v>2</v>
      </c>
      <c r="C14" s="271">
        <v>4</v>
      </c>
      <c r="D14" s="271">
        <v>2</v>
      </c>
      <c r="E14" s="285">
        <f t="shared" si="1"/>
        <v>112</v>
      </c>
      <c r="F14" s="285">
        <f t="shared" si="0"/>
        <v>11.200000000000001</v>
      </c>
      <c r="G14" s="285">
        <f t="shared" si="2"/>
        <v>100.8</v>
      </c>
      <c r="H14" s="285">
        <f t="shared" si="3"/>
        <v>18.143999999999998</v>
      </c>
      <c r="I14" s="276">
        <f t="shared" si="4"/>
        <v>118.94399999999999</v>
      </c>
    </row>
    <row r="15" spans="1:9" x14ac:dyDescent="0.25">
      <c r="A15" s="277" t="s">
        <v>277</v>
      </c>
      <c r="B15" s="271">
        <v>2</v>
      </c>
      <c r="C15" s="271">
        <v>3</v>
      </c>
      <c r="D15" s="271">
        <v>2</v>
      </c>
      <c r="E15" s="285">
        <f t="shared" si="1"/>
        <v>84</v>
      </c>
      <c r="F15" s="285">
        <f t="shared" si="0"/>
        <v>8.4</v>
      </c>
      <c r="G15" s="285">
        <f t="shared" si="2"/>
        <v>75.599999999999994</v>
      </c>
      <c r="H15" s="285">
        <f t="shared" si="3"/>
        <v>13.607999999999999</v>
      </c>
      <c r="I15" s="276">
        <f t="shared" si="4"/>
        <v>89.207999999999998</v>
      </c>
    </row>
    <row r="16" spans="1:9" x14ac:dyDescent="0.25">
      <c r="A16" s="277" t="s">
        <v>278</v>
      </c>
      <c r="B16" s="271">
        <v>4</v>
      </c>
      <c r="C16" s="271">
        <v>2</v>
      </c>
      <c r="D16" s="271">
        <v>1</v>
      </c>
      <c r="E16" s="285">
        <f t="shared" si="1"/>
        <v>64</v>
      </c>
      <c r="F16" s="285">
        <f t="shared" si="0"/>
        <v>0</v>
      </c>
      <c r="G16" s="285">
        <f t="shared" si="2"/>
        <v>64</v>
      </c>
      <c r="H16" s="285">
        <f t="shared" si="3"/>
        <v>11.52</v>
      </c>
      <c r="I16" s="276">
        <f t="shared" si="4"/>
        <v>75.52</v>
      </c>
    </row>
    <row r="17" spans="1:9" ht="15.75" thickBot="1" x14ac:dyDescent="0.3">
      <c r="A17" s="278" t="s">
        <v>279</v>
      </c>
      <c r="B17" s="279">
        <v>3</v>
      </c>
      <c r="C17" s="279">
        <v>2</v>
      </c>
      <c r="D17" s="279">
        <v>3</v>
      </c>
      <c r="E17" s="286">
        <f t="shared" si="1"/>
        <v>64</v>
      </c>
      <c r="F17" s="286">
        <f t="shared" si="0"/>
        <v>12.8</v>
      </c>
      <c r="G17" s="286">
        <f t="shared" si="2"/>
        <v>51.2</v>
      </c>
      <c r="H17" s="286">
        <f t="shared" si="3"/>
        <v>9.2159999999999993</v>
      </c>
      <c r="I17" s="284">
        <f t="shared" si="4"/>
        <v>60.416000000000004</v>
      </c>
    </row>
    <row r="18" spans="1:9" ht="15.75" thickTop="1" x14ac:dyDescent="0.25"/>
  </sheetData>
  <sheetProtection algorithmName="SHA-512" hashValue="VtMcYC8CzvA9UTv2Vz6VeMjlanaZJPTXKDDPJlJ5hiVR7uhNdCt8QAUaUGOioOxwXsd5HFnk+UooFljLDAtUQw==" saltValue="P3ZrUEFywGGC7iItdijxwA==" spinCount="100000" sheet="1" objects="1" scenarios="1"/>
  <mergeCells count="3">
    <mergeCell ref="A1:I1"/>
    <mergeCell ref="A4:C4"/>
    <mergeCell ref="E4:F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9"/>
  <sheetViews>
    <sheetView zoomScale="75" zoomScaleNormal="75" workbookViewId="0">
      <selection activeCell="I21" sqref="I21"/>
    </sheetView>
  </sheetViews>
  <sheetFormatPr baseColWidth="10" defaultRowHeight="12.75" x14ac:dyDescent="0.2"/>
  <cols>
    <col min="1" max="1" width="8.85546875" style="289" bestFit="1" customWidth="1"/>
    <col min="2" max="2" width="22" style="289" bestFit="1" customWidth="1"/>
    <col min="3" max="3" width="14.85546875" style="289" bestFit="1" customWidth="1"/>
    <col min="4" max="4" width="11.140625" style="289" bestFit="1" customWidth="1"/>
    <col min="5" max="5" width="8.5703125" style="289" bestFit="1" customWidth="1"/>
    <col min="6" max="6" width="12.7109375" style="289" bestFit="1" customWidth="1"/>
    <col min="7" max="7" width="10.140625" style="289" customWidth="1"/>
    <col min="8" max="8" width="12.140625" style="289" bestFit="1" customWidth="1"/>
    <col min="9" max="9" width="13.140625" style="289" bestFit="1" customWidth="1"/>
    <col min="10" max="10" width="12.140625" style="289" bestFit="1" customWidth="1"/>
    <col min="11" max="11" width="14.28515625" style="289" bestFit="1" customWidth="1"/>
    <col min="12" max="16384" width="11.42578125" style="289"/>
  </cols>
  <sheetData>
    <row r="1" spans="1:10" ht="34.5" customHeight="1" thickTop="1" thickBot="1" x14ac:dyDescent="0.25">
      <c r="A1" s="394" t="s">
        <v>283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14.25" thickTop="1" thickBot="1" x14ac:dyDescent="0.25"/>
    <row r="3" spans="1:10" ht="14.25" thickTop="1" thickBot="1" x14ac:dyDescent="0.25">
      <c r="A3" s="397" t="s">
        <v>284</v>
      </c>
      <c r="B3" s="398"/>
      <c r="E3" s="290" t="s">
        <v>260</v>
      </c>
      <c r="F3" s="291">
        <v>0.18</v>
      </c>
    </row>
    <row r="4" spans="1:10" ht="13.5" thickTop="1" x14ac:dyDescent="0.2">
      <c r="A4" s="292">
        <v>1</v>
      </c>
      <c r="B4" s="293">
        <v>0.1</v>
      </c>
    </row>
    <row r="5" spans="1:10" x14ac:dyDescent="0.2">
      <c r="A5" s="292">
        <v>2</v>
      </c>
      <c r="B5" s="293">
        <v>0.15</v>
      </c>
    </row>
    <row r="6" spans="1:10" ht="13.5" thickBot="1" x14ac:dyDescent="0.25">
      <c r="A6" s="294">
        <v>3</v>
      </c>
      <c r="B6" s="295">
        <v>0.2</v>
      </c>
    </row>
    <row r="7" spans="1:10" ht="14.25" thickTop="1" thickBot="1" x14ac:dyDescent="0.25"/>
    <row r="8" spans="1:10" ht="13.5" thickTop="1" x14ac:dyDescent="0.2">
      <c r="A8" s="296" t="s">
        <v>280</v>
      </c>
      <c r="B8" s="297" t="s">
        <v>285</v>
      </c>
      <c r="C8" s="297" t="s">
        <v>253</v>
      </c>
      <c r="D8" s="297" t="s">
        <v>4</v>
      </c>
      <c r="E8" s="297" t="s">
        <v>251</v>
      </c>
      <c r="F8" s="297" t="s">
        <v>286</v>
      </c>
      <c r="G8" s="297" t="s">
        <v>72</v>
      </c>
      <c r="H8" s="297" t="s">
        <v>71</v>
      </c>
      <c r="I8" s="297" t="s">
        <v>260</v>
      </c>
      <c r="J8" s="318" t="s">
        <v>287</v>
      </c>
    </row>
    <row r="9" spans="1:10" x14ac:dyDescent="0.2">
      <c r="A9" s="298">
        <v>302</v>
      </c>
      <c r="B9" s="299" t="str">
        <f t="shared" ref="B9:B19" si="0">+VLOOKUP(A9,inventario,2,0)</f>
        <v>American Beauty</v>
      </c>
      <c r="C9" s="299" t="str">
        <f t="shared" ref="C9:C19" si="1">+VLOOKUP(A9,inventario,3,0)</f>
        <v>Comedia</v>
      </c>
      <c r="D9" s="299">
        <v>5</v>
      </c>
      <c r="E9" s="300">
        <f t="shared" ref="E9:E19" si="2">+VLOOKUP(A9,inventario,4,0)</f>
        <v>1.2</v>
      </c>
      <c r="F9" s="299">
        <v>1</v>
      </c>
      <c r="G9" s="300">
        <f t="shared" ref="G9:G19" si="3">+VLOOKUP(F9,descuento,2,0)*E9</f>
        <v>0.12</v>
      </c>
      <c r="H9" s="300">
        <f>+D9*(E9-G9)</f>
        <v>5.4</v>
      </c>
      <c r="I9" s="300">
        <f>+H9*$F$3</f>
        <v>0.97199999999999998</v>
      </c>
      <c r="J9" s="319">
        <f>+H9+I9</f>
        <v>6.3719999999999999</v>
      </c>
    </row>
    <row r="10" spans="1:10" x14ac:dyDescent="0.2">
      <c r="A10" s="298">
        <v>306</v>
      </c>
      <c r="B10" s="299" t="str">
        <f t="shared" si="0"/>
        <v>La sirenita 2</v>
      </c>
      <c r="C10" s="299" t="str">
        <f t="shared" si="1"/>
        <v>Infantil</v>
      </c>
      <c r="D10" s="299">
        <v>6</v>
      </c>
      <c r="E10" s="300">
        <f t="shared" si="2"/>
        <v>1.2</v>
      </c>
      <c r="F10" s="299">
        <v>1</v>
      </c>
      <c r="G10" s="300">
        <f t="shared" si="3"/>
        <v>0.12</v>
      </c>
      <c r="H10" s="300">
        <f t="shared" ref="H10:H19" si="4">+D10*(E10-G10)</f>
        <v>6.48</v>
      </c>
      <c r="I10" s="300">
        <f t="shared" ref="I10:I19" si="5">+H10*$F$3</f>
        <v>1.1664000000000001</v>
      </c>
      <c r="J10" s="319">
        <f t="shared" ref="J10:J19" si="6">+H10+I10</f>
        <v>7.6464000000000008</v>
      </c>
    </row>
    <row r="11" spans="1:10" x14ac:dyDescent="0.2">
      <c r="A11" s="298">
        <v>310</v>
      </c>
      <c r="B11" s="299" t="str">
        <f t="shared" si="0"/>
        <v>South Park</v>
      </c>
      <c r="C11" s="299" t="str">
        <f t="shared" si="1"/>
        <v>Comedia</v>
      </c>
      <c r="D11" s="299">
        <v>3</v>
      </c>
      <c r="E11" s="300">
        <f t="shared" si="2"/>
        <v>3</v>
      </c>
      <c r="F11" s="299">
        <v>3</v>
      </c>
      <c r="G11" s="300">
        <f t="shared" si="3"/>
        <v>0.60000000000000009</v>
      </c>
      <c r="H11" s="300">
        <f t="shared" si="4"/>
        <v>7.1999999999999993</v>
      </c>
      <c r="I11" s="300">
        <f t="shared" si="5"/>
        <v>1.2959999999999998</v>
      </c>
      <c r="J11" s="319">
        <f t="shared" si="6"/>
        <v>8.4959999999999987</v>
      </c>
    </row>
    <row r="12" spans="1:10" x14ac:dyDescent="0.2">
      <c r="A12" s="298">
        <v>308</v>
      </c>
      <c r="B12" s="299" t="str">
        <f t="shared" si="0"/>
        <v>Casblanca</v>
      </c>
      <c r="C12" s="299" t="str">
        <f t="shared" si="1"/>
        <v>Clásicos</v>
      </c>
      <c r="D12" s="299">
        <v>2</v>
      </c>
      <c r="E12" s="300">
        <f t="shared" si="2"/>
        <v>3.6</v>
      </c>
      <c r="F12" s="299">
        <v>3</v>
      </c>
      <c r="G12" s="300">
        <f t="shared" si="3"/>
        <v>0.72000000000000008</v>
      </c>
      <c r="H12" s="300">
        <f t="shared" si="4"/>
        <v>5.76</v>
      </c>
      <c r="I12" s="300">
        <f t="shared" si="5"/>
        <v>1.0367999999999999</v>
      </c>
      <c r="J12" s="319">
        <f t="shared" si="6"/>
        <v>6.7967999999999993</v>
      </c>
    </row>
    <row r="13" spans="1:10" x14ac:dyDescent="0.2">
      <c r="A13" s="298">
        <v>305</v>
      </c>
      <c r="B13" s="299" t="str">
        <f t="shared" si="0"/>
        <v>Desafio total</v>
      </c>
      <c r="C13" s="299" t="str">
        <f t="shared" si="1"/>
        <v>Ciencia Ficción</v>
      </c>
      <c r="D13" s="299">
        <v>1</v>
      </c>
      <c r="E13" s="300">
        <f t="shared" si="2"/>
        <v>2.1</v>
      </c>
      <c r="F13" s="299">
        <v>2</v>
      </c>
      <c r="G13" s="300">
        <f t="shared" si="3"/>
        <v>0.315</v>
      </c>
      <c r="H13" s="300">
        <f t="shared" si="4"/>
        <v>1.7850000000000001</v>
      </c>
      <c r="I13" s="300">
        <f t="shared" si="5"/>
        <v>0.32130000000000003</v>
      </c>
      <c r="J13" s="319">
        <f t="shared" si="6"/>
        <v>2.1063000000000001</v>
      </c>
    </row>
    <row r="14" spans="1:10" x14ac:dyDescent="0.2">
      <c r="A14" s="298">
        <v>307</v>
      </c>
      <c r="B14" s="299" t="str">
        <f t="shared" si="0"/>
        <v>Lo que el viento se llevó</v>
      </c>
      <c r="C14" s="299" t="str">
        <f t="shared" si="1"/>
        <v>Clásicos</v>
      </c>
      <c r="D14" s="299">
        <v>4</v>
      </c>
      <c r="E14" s="300">
        <f t="shared" si="2"/>
        <v>3</v>
      </c>
      <c r="F14" s="299">
        <v>1</v>
      </c>
      <c r="G14" s="300">
        <f t="shared" si="3"/>
        <v>0.30000000000000004</v>
      </c>
      <c r="H14" s="300">
        <f t="shared" si="4"/>
        <v>10.8</v>
      </c>
      <c r="I14" s="300">
        <f t="shared" si="5"/>
        <v>1.944</v>
      </c>
      <c r="J14" s="319">
        <f t="shared" si="6"/>
        <v>12.744</v>
      </c>
    </row>
    <row r="15" spans="1:10" x14ac:dyDescent="0.2">
      <c r="A15" s="298">
        <v>311</v>
      </c>
      <c r="B15" s="299" t="str">
        <f t="shared" si="0"/>
        <v>Anaconda</v>
      </c>
      <c r="C15" s="299" t="str">
        <f t="shared" si="1"/>
        <v>Terror</v>
      </c>
      <c r="D15" s="299">
        <v>2</v>
      </c>
      <c r="E15" s="300">
        <f t="shared" si="2"/>
        <v>1.8</v>
      </c>
      <c r="F15" s="299">
        <v>3</v>
      </c>
      <c r="G15" s="300">
        <f t="shared" si="3"/>
        <v>0.36000000000000004</v>
      </c>
      <c r="H15" s="300">
        <f t="shared" si="4"/>
        <v>2.88</v>
      </c>
      <c r="I15" s="300">
        <f t="shared" si="5"/>
        <v>0.51839999999999997</v>
      </c>
      <c r="J15" s="319">
        <f t="shared" si="6"/>
        <v>3.3983999999999996</v>
      </c>
    </row>
    <row r="16" spans="1:10" x14ac:dyDescent="0.2">
      <c r="A16" s="298">
        <v>301</v>
      </c>
      <c r="B16" s="299" t="str">
        <f t="shared" si="0"/>
        <v>Gladiator</v>
      </c>
      <c r="C16" s="299" t="str">
        <f t="shared" si="1"/>
        <v>Acción</v>
      </c>
      <c r="D16" s="299">
        <v>3</v>
      </c>
      <c r="E16" s="300">
        <f t="shared" si="2"/>
        <v>1.8</v>
      </c>
      <c r="F16" s="299">
        <v>2</v>
      </c>
      <c r="G16" s="300">
        <f t="shared" si="3"/>
        <v>0.27</v>
      </c>
      <c r="H16" s="300">
        <f t="shared" si="4"/>
        <v>4.59</v>
      </c>
      <c r="I16" s="300">
        <f t="shared" si="5"/>
        <v>0.82619999999999993</v>
      </c>
      <c r="J16" s="319">
        <f t="shared" si="6"/>
        <v>5.4161999999999999</v>
      </c>
    </row>
    <row r="17" spans="1:10" x14ac:dyDescent="0.2">
      <c r="A17" s="298">
        <v>304</v>
      </c>
      <c r="B17" s="299" t="str">
        <f t="shared" si="0"/>
        <v>El fin de los días</v>
      </c>
      <c r="C17" s="299" t="str">
        <f t="shared" si="1"/>
        <v>Ciencia Ficción</v>
      </c>
      <c r="D17" s="299">
        <v>3</v>
      </c>
      <c r="E17" s="300">
        <f t="shared" si="2"/>
        <v>1.5</v>
      </c>
      <c r="F17" s="299">
        <v>2</v>
      </c>
      <c r="G17" s="300">
        <f t="shared" si="3"/>
        <v>0.22499999999999998</v>
      </c>
      <c r="H17" s="300">
        <f t="shared" si="4"/>
        <v>3.8249999999999997</v>
      </c>
      <c r="I17" s="300">
        <f t="shared" si="5"/>
        <v>0.68849999999999989</v>
      </c>
      <c r="J17" s="319">
        <f t="shared" si="6"/>
        <v>4.5134999999999996</v>
      </c>
    </row>
    <row r="18" spans="1:10" x14ac:dyDescent="0.2">
      <c r="A18" s="298">
        <v>303</v>
      </c>
      <c r="B18" s="299" t="str">
        <f t="shared" si="0"/>
        <v>Las cenizas de Angela</v>
      </c>
      <c r="C18" s="299" t="str">
        <f t="shared" si="1"/>
        <v>Drama</v>
      </c>
      <c r="D18" s="299">
        <v>2</v>
      </c>
      <c r="E18" s="300">
        <f t="shared" si="2"/>
        <v>1.8</v>
      </c>
      <c r="F18" s="299">
        <v>1</v>
      </c>
      <c r="G18" s="300">
        <f t="shared" si="3"/>
        <v>0.18000000000000002</v>
      </c>
      <c r="H18" s="300">
        <f t="shared" si="4"/>
        <v>3.24</v>
      </c>
      <c r="I18" s="300">
        <f t="shared" si="5"/>
        <v>0.58320000000000005</v>
      </c>
      <c r="J18" s="319">
        <f t="shared" si="6"/>
        <v>3.8232000000000004</v>
      </c>
    </row>
    <row r="19" spans="1:10" ht="13.5" thickBot="1" x14ac:dyDescent="0.25">
      <c r="A19" s="301">
        <v>312</v>
      </c>
      <c r="B19" s="302" t="str">
        <f t="shared" si="0"/>
        <v>Batman</v>
      </c>
      <c r="C19" s="302" t="str">
        <f t="shared" si="1"/>
        <v>Ciencia ficción</v>
      </c>
      <c r="D19" s="302">
        <v>1</v>
      </c>
      <c r="E19" s="303">
        <f t="shared" si="2"/>
        <v>1.8</v>
      </c>
      <c r="F19" s="302">
        <v>3</v>
      </c>
      <c r="G19" s="303">
        <f t="shared" si="3"/>
        <v>0.36000000000000004</v>
      </c>
      <c r="H19" s="344">
        <f t="shared" si="4"/>
        <v>1.44</v>
      </c>
      <c r="I19" s="303">
        <f t="shared" si="5"/>
        <v>0.25919999999999999</v>
      </c>
      <c r="J19" s="308">
        <f t="shared" si="6"/>
        <v>1.6991999999999998</v>
      </c>
    </row>
    <row r="20" spans="1:10" ht="14.25" thickTop="1" thickBot="1" x14ac:dyDescent="0.25"/>
    <row r="21" spans="1:10" ht="13.5" thickTop="1" x14ac:dyDescent="0.2">
      <c r="B21" s="304" t="s">
        <v>304</v>
      </c>
      <c r="C21" s="305">
        <f>MAX(J9:J19)</f>
        <v>12.744</v>
      </c>
      <c r="G21" s="397" t="s">
        <v>305</v>
      </c>
      <c r="H21" s="399"/>
      <c r="I21" s="306">
        <f>COUNT(A9:A19)</f>
        <v>11</v>
      </c>
    </row>
    <row r="22" spans="1:10" ht="13.5" thickBot="1" x14ac:dyDescent="0.25">
      <c r="B22" s="307" t="s">
        <v>306</v>
      </c>
      <c r="C22" s="308">
        <f>MIN(J9:J19)</f>
        <v>1.6991999999999998</v>
      </c>
      <c r="G22" s="400" t="s">
        <v>307</v>
      </c>
      <c r="H22" s="401"/>
      <c r="I22" s="309">
        <f>SUM(J9:J19)</f>
        <v>63.012</v>
      </c>
    </row>
    <row r="23" spans="1:10" ht="14.25" thickTop="1" thickBot="1" x14ac:dyDescent="0.25"/>
    <row r="24" spans="1:10" ht="14.25" thickTop="1" thickBot="1" x14ac:dyDescent="0.25">
      <c r="A24" s="310" t="s">
        <v>280</v>
      </c>
      <c r="B24" s="311" t="s">
        <v>285</v>
      </c>
      <c r="C24" s="311" t="s">
        <v>308</v>
      </c>
      <c r="D24" s="312" t="s">
        <v>251</v>
      </c>
    </row>
    <row r="25" spans="1:10" ht="13.5" thickTop="1" x14ac:dyDescent="0.2">
      <c r="A25" s="313">
        <v>300</v>
      </c>
      <c r="B25" s="314" t="s">
        <v>309</v>
      </c>
      <c r="C25" s="314" t="s">
        <v>290</v>
      </c>
      <c r="D25" s="315">
        <v>3</v>
      </c>
    </row>
    <row r="26" spans="1:10" x14ac:dyDescent="0.2">
      <c r="A26" s="292">
        <v>301</v>
      </c>
      <c r="B26" s="299" t="s">
        <v>299</v>
      </c>
      <c r="C26" s="299" t="s">
        <v>256</v>
      </c>
      <c r="D26" s="316">
        <v>1.8</v>
      </c>
    </row>
    <row r="27" spans="1:10" x14ac:dyDescent="0.2">
      <c r="A27" s="292">
        <v>302</v>
      </c>
      <c r="B27" s="299" t="s">
        <v>288</v>
      </c>
      <c r="C27" s="299" t="s">
        <v>254</v>
      </c>
      <c r="D27" s="316">
        <v>1.2</v>
      </c>
    </row>
    <row r="28" spans="1:10" x14ac:dyDescent="0.2">
      <c r="A28" s="292">
        <v>303</v>
      </c>
      <c r="B28" s="299" t="s">
        <v>301</v>
      </c>
      <c r="C28" s="299" t="s">
        <v>255</v>
      </c>
      <c r="D28" s="316">
        <v>1.8</v>
      </c>
    </row>
    <row r="29" spans="1:10" x14ac:dyDescent="0.2">
      <c r="A29" s="292">
        <v>304</v>
      </c>
      <c r="B29" s="299" t="s">
        <v>300</v>
      </c>
      <c r="C29" s="299" t="s">
        <v>295</v>
      </c>
      <c r="D29" s="316">
        <v>1.5</v>
      </c>
    </row>
    <row r="30" spans="1:10" x14ac:dyDescent="0.2">
      <c r="A30" s="292">
        <v>305</v>
      </c>
      <c r="B30" s="299" t="s">
        <v>294</v>
      </c>
      <c r="C30" s="299" t="s">
        <v>295</v>
      </c>
      <c r="D30" s="316">
        <v>2.1</v>
      </c>
    </row>
    <row r="31" spans="1:10" x14ac:dyDescent="0.2">
      <c r="A31" s="292">
        <v>306</v>
      </c>
      <c r="B31" s="299" t="s">
        <v>289</v>
      </c>
      <c r="C31" s="299" t="s">
        <v>290</v>
      </c>
      <c r="D31" s="316">
        <v>1.2</v>
      </c>
    </row>
    <row r="32" spans="1:10" x14ac:dyDescent="0.2">
      <c r="A32" s="292">
        <v>307</v>
      </c>
      <c r="B32" s="299" t="s">
        <v>296</v>
      </c>
      <c r="C32" s="299" t="s">
        <v>293</v>
      </c>
      <c r="D32" s="316">
        <v>3</v>
      </c>
    </row>
    <row r="33" spans="1:4" x14ac:dyDescent="0.2">
      <c r="A33" s="292">
        <v>308</v>
      </c>
      <c r="B33" s="299" t="s">
        <v>292</v>
      </c>
      <c r="C33" s="299" t="s">
        <v>293</v>
      </c>
      <c r="D33" s="316">
        <v>3.6</v>
      </c>
    </row>
    <row r="34" spans="1:4" x14ac:dyDescent="0.2">
      <c r="A34" s="292">
        <v>309</v>
      </c>
      <c r="B34" s="299" t="s">
        <v>339</v>
      </c>
      <c r="C34" s="299" t="s">
        <v>290</v>
      </c>
      <c r="D34" s="316">
        <v>3.6</v>
      </c>
    </row>
    <row r="35" spans="1:4" x14ac:dyDescent="0.2">
      <c r="A35" s="292">
        <v>310</v>
      </c>
      <c r="B35" s="299" t="s">
        <v>291</v>
      </c>
      <c r="C35" s="299" t="s">
        <v>254</v>
      </c>
      <c r="D35" s="316">
        <v>3</v>
      </c>
    </row>
    <row r="36" spans="1:4" x14ac:dyDescent="0.2">
      <c r="A36" s="292">
        <v>311</v>
      </c>
      <c r="B36" s="299" t="s">
        <v>297</v>
      </c>
      <c r="C36" s="299" t="s">
        <v>298</v>
      </c>
      <c r="D36" s="316">
        <v>1.8</v>
      </c>
    </row>
    <row r="37" spans="1:4" x14ac:dyDescent="0.2">
      <c r="A37" s="292">
        <v>312</v>
      </c>
      <c r="B37" s="299" t="s">
        <v>302</v>
      </c>
      <c r="C37" s="299" t="s">
        <v>303</v>
      </c>
      <c r="D37" s="316">
        <v>1.8</v>
      </c>
    </row>
    <row r="38" spans="1:4" ht="13.5" thickBot="1" x14ac:dyDescent="0.25">
      <c r="A38" s="294">
        <v>313</v>
      </c>
      <c r="B38" s="302" t="s">
        <v>257</v>
      </c>
      <c r="C38" s="302" t="s">
        <v>255</v>
      </c>
      <c r="D38" s="317">
        <v>1.8</v>
      </c>
    </row>
    <row r="39" spans="1:4" ht="13.5" thickTop="1" x14ac:dyDescent="0.2"/>
  </sheetData>
  <sheetProtection algorithmName="SHA-512" hashValue="3RtwZ9CqGNvwazrXqndJJX2/9WyxRsFDfWNs/EJqesN2IV5C1EYnKr7LPD/W9XzYRdGkoS0ReqFE+sGrtmucZw==" saltValue="L0Di9+kH99RT0Bq+MmHJsQ==" spinCount="100000" sheet="1" objects="1" scenarios="1"/>
  <mergeCells count="4">
    <mergeCell ref="A1:J1"/>
    <mergeCell ref="A3:B3"/>
    <mergeCell ref="G21:H21"/>
    <mergeCell ref="G22:H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H2" sqref="H2"/>
    </sheetView>
  </sheetViews>
  <sheetFormatPr baseColWidth="10" defaultRowHeight="15" x14ac:dyDescent="0.25"/>
  <cols>
    <col min="1" max="1" width="5" customWidth="1"/>
    <col min="2" max="2" width="13.28515625" bestFit="1" customWidth="1"/>
    <col min="3" max="5" width="21.28515625" customWidth="1"/>
    <col min="6" max="6" width="5" customWidth="1"/>
  </cols>
  <sheetData>
    <row r="1" spans="1:6" x14ac:dyDescent="0.25">
      <c r="A1" s="52"/>
      <c r="B1" s="52"/>
      <c r="C1" s="52"/>
      <c r="D1" s="52"/>
      <c r="E1" s="52"/>
      <c r="F1" s="52"/>
    </row>
    <row r="2" spans="1:6" ht="26.25" x14ac:dyDescent="0.4">
      <c r="A2" s="52"/>
      <c r="B2" s="354" t="s">
        <v>98</v>
      </c>
      <c r="C2" s="354"/>
      <c r="D2" s="354"/>
      <c r="E2" s="354"/>
      <c r="F2" s="52"/>
    </row>
    <row r="3" spans="1:6" ht="15.75" thickBot="1" x14ac:dyDescent="0.3">
      <c r="A3" s="52"/>
      <c r="B3" s="52"/>
      <c r="C3" s="52"/>
      <c r="D3" s="52"/>
      <c r="E3" s="52"/>
      <c r="F3" s="52"/>
    </row>
    <row r="4" spans="1:6" ht="29.25" thickBot="1" x14ac:dyDescent="0.3">
      <c r="A4" s="52"/>
      <c r="B4" s="53"/>
      <c r="C4" s="43" t="s">
        <v>44</v>
      </c>
      <c r="D4" s="44" t="s">
        <v>99</v>
      </c>
      <c r="E4" s="45" t="s">
        <v>97</v>
      </c>
      <c r="F4" s="52"/>
    </row>
    <row r="5" spans="1:6" x14ac:dyDescent="0.25">
      <c r="A5" s="52"/>
      <c r="B5" s="46" t="s">
        <v>25</v>
      </c>
      <c r="C5" s="49"/>
      <c r="D5" s="49"/>
      <c r="E5" s="49"/>
      <c r="F5" s="52"/>
    </row>
    <row r="6" spans="1:6" x14ac:dyDescent="0.25">
      <c r="A6" s="52"/>
      <c r="B6" s="47" t="s">
        <v>50</v>
      </c>
      <c r="C6" s="50"/>
      <c r="D6" s="50"/>
      <c r="E6" s="50"/>
      <c r="F6" s="52"/>
    </row>
    <row r="7" spans="1:6" x14ac:dyDescent="0.25">
      <c r="A7" s="52"/>
      <c r="B7" s="47" t="s">
        <v>51</v>
      </c>
      <c r="C7" s="50"/>
      <c r="D7" s="50"/>
      <c r="E7" s="50"/>
      <c r="F7" s="52"/>
    </row>
    <row r="8" spans="1:6" x14ac:dyDescent="0.25">
      <c r="A8" s="52"/>
      <c r="B8" s="47" t="s">
        <v>52</v>
      </c>
      <c r="C8" s="50"/>
      <c r="D8" s="50"/>
      <c r="E8" s="50"/>
      <c r="F8" s="52"/>
    </row>
    <row r="9" spans="1:6" x14ac:dyDescent="0.25">
      <c r="A9" s="52"/>
      <c r="B9" s="47" t="s">
        <v>53</v>
      </c>
      <c r="C9" s="50"/>
      <c r="D9" s="50"/>
      <c r="E9" s="50"/>
      <c r="F9" s="52"/>
    </row>
    <row r="10" spans="1:6" x14ac:dyDescent="0.25">
      <c r="A10" s="52"/>
      <c r="B10" s="47" t="s">
        <v>26</v>
      </c>
      <c r="C10" s="50"/>
      <c r="D10" s="50"/>
      <c r="E10" s="50"/>
      <c r="F10" s="52"/>
    </row>
    <row r="11" spans="1:6" ht="15.75" thickBot="1" x14ac:dyDescent="0.3">
      <c r="A11" s="52"/>
      <c r="B11" s="48" t="s">
        <v>54</v>
      </c>
      <c r="C11" s="51"/>
      <c r="D11" s="51"/>
      <c r="E11" s="51"/>
      <c r="F11" s="52"/>
    </row>
    <row r="12" spans="1:6" x14ac:dyDescent="0.25">
      <c r="A12" s="52"/>
      <c r="B12" s="52"/>
      <c r="C12" s="52"/>
      <c r="D12" s="52"/>
      <c r="E12" s="52"/>
      <c r="F12" s="52"/>
    </row>
  </sheetData>
  <sheetProtection algorithmName="SHA-512" hashValue="ZsuL3twIsEO7N3oIVNhK1ogpaUJcXbLzzyi6NRlctGioC2fiP/0lSPGWXmgokQfgObsKd9jROypZvAKktNwyfw==" saltValue="dMT13QtlKA+aIDmW5KA5dQ==" spinCount="100000" sheet="1" objects="1" scenarios="1"/>
  <mergeCells count="1">
    <mergeCell ref="B2:E2"/>
  </mergeCells>
  <dataValidations count="3">
    <dataValidation type="decimal" allowBlank="1" showInputMessage="1" showErrorMessage="1" errorTitle="Error" error="La temperatura debe estar comprendida entre -40ºC y 50ºC" sqref="C5:C11" xr:uid="{00000000-0002-0000-0100-000000000000}">
      <formula1>-40</formula1>
      <formula2>50</formula2>
    </dataValidation>
    <dataValidation type="whole" operator="greaterThanOrEqual" allowBlank="1" showInputMessage="1" showErrorMessage="1" errorTitle="Error" error="La cantidad de lluvias debe ser un número entero positivo." sqref="D5:D11" xr:uid="{00000000-0002-0000-0100-000001000000}">
      <formula1>0</formula1>
    </dataValidation>
    <dataValidation type="whole" allowBlank="1" showInputMessage="1" showErrorMessage="1" errorTitle="Error" error="La humedad relativa debe estar comprendida entre 0% y 100%" sqref="E5:E11" xr:uid="{00000000-0002-0000-0100-000002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22"/>
  <sheetViews>
    <sheetView workbookViewId="0">
      <selection activeCell="H12" sqref="H12"/>
    </sheetView>
  </sheetViews>
  <sheetFormatPr baseColWidth="10" defaultRowHeight="15" x14ac:dyDescent="0.25"/>
  <cols>
    <col min="2" max="3" width="16.7109375" bestFit="1" customWidth="1"/>
    <col min="4" max="5" width="12" bestFit="1" customWidth="1"/>
    <col min="6" max="6" width="5.5703125" customWidth="1"/>
  </cols>
  <sheetData>
    <row r="1" spans="1:9" ht="39" customHeight="1" thickBot="1" x14ac:dyDescent="0.55000000000000004">
      <c r="A1" s="402" t="s">
        <v>310</v>
      </c>
      <c r="B1" s="402"/>
      <c r="C1" s="402"/>
      <c r="D1" s="402"/>
      <c r="E1" s="403"/>
    </row>
    <row r="2" spans="1:9" ht="16.5" thickTop="1" thickBot="1" x14ac:dyDescent="0.3">
      <c r="A2" s="323" t="s">
        <v>74</v>
      </c>
      <c r="B2" s="324" t="s">
        <v>311</v>
      </c>
      <c r="C2" s="324" t="s">
        <v>250</v>
      </c>
      <c r="D2" s="324" t="s">
        <v>312</v>
      </c>
      <c r="E2" s="325" t="s">
        <v>79</v>
      </c>
      <c r="G2" s="287" t="s">
        <v>317</v>
      </c>
      <c r="H2" s="287" t="s">
        <v>318</v>
      </c>
    </row>
    <row r="3" spans="1:9" ht="15.75" thickTop="1" x14ac:dyDescent="0.25">
      <c r="A3" s="275" t="s">
        <v>153</v>
      </c>
      <c r="B3" s="331">
        <v>900</v>
      </c>
      <c r="C3" s="331">
        <v>3300</v>
      </c>
      <c r="D3" s="331">
        <f>10%*C3</f>
        <v>330</v>
      </c>
      <c r="E3" s="334">
        <f>+D3+B3</f>
        <v>1230</v>
      </c>
      <c r="G3" s="261" t="s">
        <v>320</v>
      </c>
      <c r="H3" s="261">
        <f>COUNT(E3:E17)</f>
        <v>15</v>
      </c>
    </row>
    <row r="4" spans="1:9" x14ac:dyDescent="0.25">
      <c r="A4" s="261" t="s">
        <v>143</v>
      </c>
      <c r="B4" s="332">
        <v>870</v>
      </c>
      <c r="C4" s="332">
        <v>6160</v>
      </c>
      <c r="D4" s="331">
        <f t="shared" ref="D4:D17" si="0">10%*C4</f>
        <v>616</v>
      </c>
      <c r="E4" s="334">
        <f t="shared" ref="E4:E17" si="1">+D4+B4</f>
        <v>1486</v>
      </c>
      <c r="G4" s="261" t="s">
        <v>322</v>
      </c>
      <c r="H4" s="261">
        <f>COUNTIF(E3:E17,"&gt;1200")</f>
        <v>6</v>
      </c>
    </row>
    <row r="5" spans="1:9" x14ac:dyDescent="0.25">
      <c r="A5" s="261" t="s">
        <v>313</v>
      </c>
      <c r="B5" s="332">
        <v>1200</v>
      </c>
      <c r="C5" s="332">
        <v>5130</v>
      </c>
      <c r="D5" s="331">
        <f t="shared" si="0"/>
        <v>513</v>
      </c>
      <c r="E5" s="334">
        <f t="shared" si="1"/>
        <v>1713</v>
      </c>
      <c r="G5" s="261" t="s">
        <v>324</v>
      </c>
      <c r="H5" s="261">
        <f>COUNTIF(C3:C17,"&gt;1000")</f>
        <v>12</v>
      </c>
    </row>
    <row r="6" spans="1:9" x14ac:dyDescent="0.25">
      <c r="A6" s="261" t="s">
        <v>314</v>
      </c>
      <c r="B6" s="332">
        <v>1290</v>
      </c>
      <c r="C6" s="332">
        <v>7541</v>
      </c>
      <c r="D6" s="331">
        <f t="shared" si="0"/>
        <v>754.1</v>
      </c>
      <c r="E6" s="334">
        <f t="shared" si="1"/>
        <v>2044.1</v>
      </c>
      <c r="G6" s="261" t="s">
        <v>326</v>
      </c>
      <c r="H6" s="338">
        <f>SUMIF(C3:C17,"&lt;3000",C3:C17)</f>
        <v>6974</v>
      </c>
    </row>
    <row r="7" spans="1:9" x14ac:dyDescent="0.25">
      <c r="A7" s="261" t="s">
        <v>315</v>
      </c>
      <c r="B7" s="332">
        <v>750</v>
      </c>
      <c r="C7" s="332">
        <v>734</v>
      </c>
      <c r="D7" s="331">
        <f t="shared" si="0"/>
        <v>73.400000000000006</v>
      </c>
      <c r="E7" s="334">
        <f t="shared" si="1"/>
        <v>823.4</v>
      </c>
      <c r="G7" s="261" t="s">
        <v>328</v>
      </c>
      <c r="H7" s="338">
        <f>SUMIF(C3:C17,"&gt;6000",C3:C17)</f>
        <v>13701</v>
      </c>
    </row>
    <row r="8" spans="1:9" x14ac:dyDescent="0.25">
      <c r="A8" s="261" t="s">
        <v>316</v>
      </c>
      <c r="B8" s="332">
        <v>720</v>
      </c>
      <c r="C8" s="332">
        <v>3030</v>
      </c>
      <c r="D8" s="331">
        <f t="shared" si="0"/>
        <v>303</v>
      </c>
      <c r="E8" s="334">
        <f t="shared" si="1"/>
        <v>1023</v>
      </c>
      <c r="G8" s="261" t="s">
        <v>330</v>
      </c>
      <c r="H8" s="338">
        <f>SUMIF(E3:E17,"&gt;1200",E3:E17)</f>
        <v>9385.1</v>
      </c>
    </row>
    <row r="9" spans="1:9" x14ac:dyDescent="0.25">
      <c r="A9" s="261" t="s">
        <v>319</v>
      </c>
      <c r="B9" s="332">
        <v>810</v>
      </c>
      <c r="C9" s="332">
        <v>3758</v>
      </c>
      <c r="D9" s="331">
        <f t="shared" si="0"/>
        <v>375.8</v>
      </c>
      <c r="E9" s="334">
        <f t="shared" si="1"/>
        <v>1185.8</v>
      </c>
      <c r="G9" s="261" t="s">
        <v>332</v>
      </c>
      <c r="H9" s="338">
        <f>SUMIF(B3:B17,"&gt;=1200",C3:C17)</f>
        <v>17091</v>
      </c>
    </row>
    <row r="10" spans="1:9" x14ac:dyDescent="0.25">
      <c r="A10" s="261" t="s">
        <v>321</v>
      </c>
      <c r="B10" s="332">
        <v>1270</v>
      </c>
      <c r="C10" s="332">
        <v>3000</v>
      </c>
      <c r="D10" s="331">
        <f t="shared" si="0"/>
        <v>300</v>
      </c>
      <c r="E10" s="334">
        <f t="shared" si="1"/>
        <v>1570</v>
      </c>
      <c r="G10" s="261" t="s">
        <v>334</v>
      </c>
      <c r="H10" s="338">
        <f>SUMIF(B3:B17,"&lt;1000",C3:C17)</f>
        <v>29377</v>
      </c>
    </row>
    <row r="11" spans="1:9" x14ac:dyDescent="0.25">
      <c r="A11" s="261" t="s">
        <v>323</v>
      </c>
      <c r="B11" s="332">
        <v>750</v>
      </c>
      <c r="C11" s="332">
        <v>1530</v>
      </c>
      <c r="D11" s="331">
        <f t="shared" si="0"/>
        <v>153</v>
      </c>
      <c r="E11" s="334">
        <f t="shared" si="1"/>
        <v>903</v>
      </c>
      <c r="G11" s="261" t="s">
        <v>336</v>
      </c>
      <c r="H11" s="261" t="str">
        <f>IF(H10&gt;H9,"8 es mayor","8 es inferior")</f>
        <v>8 es mayor</v>
      </c>
    </row>
    <row r="12" spans="1:9" x14ac:dyDescent="0.25">
      <c r="A12" s="261" t="s">
        <v>325</v>
      </c>
      <c r="B12" s="332">
        <v>1200</v>
      </c>
      <c r="C12" s="332">
        <v>1420</v>
      </c>
      <c r="D12" s="331">
        <f t="shared" si="0"/>
        <v>142</v>
      </c>
      <c r="E12" s="334">
        <f t="shared" si="1"/>
        <v>1342</v>
      </c>
    </row>
    <row r="13" spans="1:9" x14ac:dyDescent="0.25">
      <c r="A13" s="261" t="s">
        <v>327</v>
      </c>
      <c r="B13" s="332">
        <v>610</v>
      </c>
      <c r="C13" s="332">
        <v>740</v>
      </c>
      <c r="D13" s="331">
        <f t="shared" si="0"/>
        <v>74</v>
      </c>
      <c r="E13" s="334">
        <f t="shared" si="1"/>
        <v>684</v>
      </c>
    </row>
    <row r="14" spans="1:9" x14ac:dyDescent="0.25">
      <c r="A14" s="261" t="s">
        <v>329</v>
      </c>
      <c r="B14" s="332">
        <v>750</v>
      </c>
      <c r="C14" s="332">
        <v>740</v>
      </c>
      <c r="D14" s="331">
        <f t="shared" si="0"/>
        <v>74</v>
      </c>
      <c r="E14" s="334">
        <f t="shared" si="1"/>
        <v>824</v>
      </c>
    </row>
    <row r="15" spans="1:9" x14ac:dyDescent="0.25">
      <c r="A15" s="261" t="s">
        <v>331</v>
      </c>
      <c r="B15" s="332">
        <v>750</v>
      </c>
      <c r="C15" s="332">
        <v>3045</v>
      </c>
      <c r="D15" s="331">
        <f t="shared" si="0"/>
        <v>304.5</v>
      </c>
      <c r="E15" s="334">
        <f t="shared" si="1"/>
        <v>1054.5</v>
      </c>
      <c r="I15" s="249"/>
    </row>
    <row r="16" spans="1:9" x14ac:dyDescent="0.25">
      <c r="A16" s="261" t="s">
        <v>333</v>
      </c>
      <c r="B16" s="332">
        <v>670</v>
      </c>
      <c r="C16" s="332">
        <v>4530</v>
      </c>
      <c r="D16" s="331">
        <f t="shared" si="0"/>
        <v>453</v>
      </c>
      <c r="E16" s="334">
        <f t="shared" si="1"/>
        <v>1123</v>
      </c>
      <c r="I16" s="249"/>
    </row>
    <row r="17" spans="1:5" ht="15.75" thickBot="1" x14ac:dyDescent="0.3">
      <c r="A17" s="288" t="s">
        <v>335</v>
      </c>
      <c r="B17" s="333">
        <v>180</v>
      </c>
      <c r="C17" s="333">
        <v>1810</v>
      </c>
      <c r="D17" s="331">
        <f t="shared" si="0"/>
        <v>181</v>
      </c>
      <c r="E17" s="334">
        <f t="shared" si="1"/>
        <v>361</v>
      </c>
    </row>
    <row r="18" spans="1:5" ht="15.75" thickTop="1" x14ac:dyDescent="0.25">
      <c r="A18" s="320" t="s">
        <v>185</v>
      </c>
      <c r="B18" s="335">
        <f>SUM(B3:B17)</f>
        <v>12720</v>
      </c>
      <c r="C18" s="326">
        <f>SUM(C3:C17)</f>
        <v>46468</v>
      </c>
      <c r="D18" s="326">
        <f>SUM(D3:D17)</f>
        <v>4646.8</v>
      </c>
      <c r="E18" s="327">
        <f>SUM(E3:E17)</f>
        <v>17366.8</v>
      </c>
    </row>
    <row r="19" spans="1:5" x14ac:dyDescent="0.25">
      <c r="A19" s="321" t="s">
        <v>337</v>
      </c>
      <c r="B19" s="336">
        <f>MIN(B3:B17)</f>
        <v>180</v>
      </c>
      <c r="C19" s="271">
        <f>MIN(C3:C17)</f>
        <v>734</v>
      </c>
      <c r="D19" s="271">
        <f>MIN(D3:D17)</f>
        <v>73.400000000000006</v>
      </c>
      <c r="E19" s="328">
        <f>MIN(E3:E17)</f>
        <v>361</v>
      </c>
    </row>
    <row r="20" spans="1:5" x14ac:dyDescent="0.25">
      <c r="A20" s="321" t="s">
        <v>338</v>
      </c>
      <c r="B20" s="336">
        <f>MAX(B3:B17)</f>
        <v>1290</v>
      </c>
      <c r="C20" s="271">
        <f>MAX(C3:C17)</f>
        <v>7541</v>
      </c>
      <c r="D20" s="271">
        <f>MAX(D3:D17)</f>
        <v>754.1</v>
      </c>
      <c r="E20" s="328">
        <f>MAX(E3:E17)</f>
        <v>2044.1</v>
      </c>
    </row>
    <row r="21" spans="1:5" ht="15.75" thickBot="1" x14ac:dyDescent="0.3">
      <c r="A21" s="322" t="s">
        <v>162</v>
      </c>
      <c r="B21" s="337">
        <f>AVERAGE(B3:B17)</f>
        <v>848</v>
      </c>
      <c r="C21" s="329">
        <f>AVERAGE(C3:C17)</f>
        <v>3097.8666666666668</v>
      </c>
      <c r="D21" s="329">
        <f>AVERAGE(D3:D17)</f>
        <v>309.78666666666669</v>
      </c>
      <c r="E21" s="330">
        <f>AVERAGE(E3:E17)</f>
        <v>1157.7866666666666</v>
      </c>
    </row>
    <row r="22" spans="1:5" ht="15.75" thickTop="1" x14ac:dyDescent="0.25"/>
  </sheetData>
  <sheetProtection algorithmName="SHA-512" hashValue="zPSLk29A4aPuBkYHGN/K+rfty6qiT7taYB8zg5zmNM9kWNbm2+VrGyOHGCP89pY9sRRrKpoWyvUnUGenIegpyA==" saltValue="/l9ctOT1s97LL0wIjfHJjA==" spinCount="100000" sheet="1" objects="1" scenarios="1"/>
  <mergeCells count="1">
    <mergeCell ref="A1:E1"/>
  </mergeCells>
  <conditionalFormatting sqref="C3:C17">
    <cfRule type="top10" dxfId="1" priority="1" bottom="1" rank="1"/>
    <cfRule type="top10" dxfId="0" priority="2" rank="1"/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G4"/>
  <sheetViews>
    <sheetView workbookViewId="0">
      <selection activeCell="K2" sqref="K2"/>
    </sheetView>
  </sheetViews>
  <sheetFormatPr baseColWidth="10" defaultRowHeight="15" x14ac:dyDescent="0.25"/>
  <cols>
    <col min="3" max="7" width="16.7109375" customWidth="1"/>
  </cols>
  <sheetData>
    <row r="1" spans="2:7" ht="15.75" thickBot="1" x14ac:dyDescent="0.3"/>
    <row r="2" spans="2:7" ht="16.5" thickTop="1" thickBot="1" x14ac:dyDescent="0.3">
      <c r="B2" s="100"/>
      <c r="C2" s="229" t="s">
        <v>163</v>
      </c>
      <c r="D2" s="230" t="s">
        <v>164</v>
      </c>
      <c r="E2" s="230" t="s">
        <v>165</v>
      </c>
      <c r="F2" s="230" t="s">
        <v>166</v>
      </c>
      <c r="G2" s="231" t="s">
        <v>167</v>
      </c>
    </row>
    <row r="3" spans="2:7" ht="16.5" thickTop="1" thickBot="1" x14ac:dyDescent="0.3">
      <c r="B3" s="232" t="s">
        <v>168</v>
      </c>
      <c r="C3" s="233">
        <v>1110</v>
      </c>
      <c r="D3" s="233">
        <v>2150</v>
      </c>
      <c r="E3" s="234">
        <v>340</v>
      </c>
      <c r="F3" s="234">
        <v>340</v>
      </c>
      <c r="G3" s="235">
        <v>0</v>
      </c>
    </row>
    <row r="4" spans="2:7" ht="15.75" thickTop="1" x14ac:dyDescent="0.25"/>
  </sheetData>
  <sheetProtection algorithmName="SHA-512" hashValue="h48NAA6dJTqCHUU8A8TdQlbFuMPv3FGS9VIatRI9E2oSIXe/17SbzLpgv79lJg4Sft0uidF+GhC0CmIkNP3U+A==" saltValue="oKQu+P0QiGhnXNRKvMJRZw==" spinCount="100000" sheet="1" objects="1" scenarios="1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9"/>
  <sheetViews>
    <sheetView workbookViewId="0">
      <selection activeCell="K2" sqref="K2"/>
    </sheetView>
  </sheetViews>
  <sheetFormatPr baseColWidth="10" defaultRowHeight="15" x14ac:dyDescent="0.25"/>
  <cols>
    <col min="1" max="1" width="14.28515625" bestFit="1" customWidth="1"/>
    <col min="2" max="2" width="22.42578125" bestFit="1" customWidth="1"/>
    <col min="3" max="3" width="16.7109375" bestFit="1" customWidth="1"/>
    <col min="4" max="4" width="27.7109375" bestFit="1" customWidth="1"/>
  </cols>
  <sheetData>
    <row r="1" spans="1:4" ht="18" thickTop="1" thickBot="1" x14ac:dyDescent="0.3">
      <c r="A1" s="100"/>
      <c r="B1" s="236" t="s">
        <v>44</v>
      </c>
      <c r="C1" s="237" t="s">
        <v>169</v>
      </c>
      <c r="D1" s="238" t="s">
        <v>170</v>
      </c>
    </row>
    <row r="2" spans="1:4" ht="16.5" thickTop="1" thickBot="1" x14ac:dyDescent="0.3">
      <c r="A2" s="239" t="s">
        <v>25</v>
      </c>
      <c r="B2" s="240">
        <v>25.5</v>
      </c>
      <c r="C2" s="240">
        <v>0</v>
      </c>
      <c r="D2" s="241">
        <v>70</v>
      </c>
    </row>
    <row r="3" spans="1:4" ht="15.75" thickBot="1" x14ac:dyDescent="0.3">
      <c r="A3" s="242" t="s">
        <v>50</v>
      </c>
      <c r="B3" s="240">
        <v>22</v>
      </c>
      <c r="C3" s="240">
        <v>0</v>
      </c>
      <c r="D3" s="241">
        <v>60</v>
      </c>
    </row>
    <row r="4" spans="1:4" ht="15.75" thickBot="1" x14ac:dyDescent="0.3">
      <c r="A4" s="242" t="s">
        <v>51</v>
      </c>
      <c r="B4" s="240">
        <v>17.5</v>
      </c>
      <c r="C4" s="240">
        <v>0</v>
      </c>
      <c r="D4" s="241">
        <v>65</v>
      </c>
    </row>
    <row r="5" spans="1:4" ht="15.75" thickBot="1" x14ac:dyDescent="0.3">
      <c r="A5" s="242" t="s">
        <v>52</v>
      </c>
      <c r="B5" s="240">
        <v>15</v>
      </c>
      <c r="C5" s="240">
        <v>26</v>
      </c>
      <c r="D5" s="241">
        <v>50</v>
      </c>
    </row>
    <row r="6" spans="1:4" ht="15.75" thickBot="1" x14ac:dyDescent="0.3">
      <c r="A6" s="242" t="s">
        <v>53</v>
      </c>
      <c r="B6" s="240">
        <v>12.5</v>
      </c>
      <c r="C6" s="240">
        <v>50</v>
      </c>
      <c r="D6" s="241">
        <v>45</v>
      </c>
    </row>
    <row r="7" spans="1:4" ht="15.75" thickBot="1" x14ac:dyDescent="0.3">
      <c r="A7" s="242" t="s">
        <v>26</v>
      </c>
      <c r="B7" s="240">
        <v>10</v>
      </c>
      <c r="C7" s="240">
        <v>100</v>
      </c>
      <c r="D7" s="241">
        <v>45</v>
      </c>
    </row>
    <row r="8" spans="1:4" ht="15.75" thickBot="1" x14ac:dyDescent="0.3">
      <c r="A8" s="243" t="s">
        <v>54</v>
      </c>
      <c r="B8" s="244">
        <v>9</v>
      </c>
      <c r="C8" s="244">
        <v>150</v>
      </c>
      <c r="D8" s="245">
        <v>50</v>
      </c>
    </row>
    <row r="9" spans="1:4" ht="15.75" thickTop="1" x14ac:dyDescent="0.25"/>
  </sheetData>
  <sheetProtection algorithmName="SHA-512" hashValue="izjnCif/jAvnSCo8CoZzcUxyuaKWLZ2tIAFk20aUd/H3/R9G4H5L9UcqeDxi84wksLSJoo6z3M1mk+jqF2k1mg==" saltValue="auQypVMGyxyIeE0+NdUzyw==" spinCount="100000" sheet="1" objects="1" scenarios="1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E10"/>
  <sheetViews>
    <sheetView workbookViewId="0">
      <selection activeCell="K2" sqref="K2"/>
    </sheetView>
  </sheetViews>
  <sheetFormatPr baseColWidth="10" defaultRowHeight="15" x14ac:dyDescent="0.25"/>
  <cols>
    <col min="3" max="4" width="15" bestFit="1" customWidth="1"/>
    <col min="5" max="5" width="16.5703125" bestFit="1" customWidth="1"/>
  </cols>
  <sheetData>
    <row r="1" spans="2:5" ht="15.75" thickBot="1" x14ac:dyDescent="0.3"/>
    <row r="2" spans="2:5" ht="16.5" thickTop="1" thickBot="1" x14ac:dyDescent="0.3">
      <c r="B2" s="386" t="s">
        <v>171</v>
      </c>
      <c r="C2" s="387"/>
      <c r="D2" s="387"/>
      <c r="E2" s="388"/>
    </row>
    <row r="3" spans="2:5" ht="16.5" thickTop="1" thickBot="1" x14ac:dyDescent="0.3"/>
    <row r="4" spans="2:5" ht="15.75" thickBot="1" x14ac:dyDescent="0.3">
      <c r="B4" s="246"/>
      <c r="C4" s="247" t="s">
        <v>172</v>
      </c>
      <c r="D4" s="247" t="s">
        <v>173</v>
      </c>
      <c r="E4" s="247" t="s">
        <v>174</v>
      </c>
    </row>
    <row r="5" spans="2:5" ht="15.75" thickBot="1" x14ac:dyDescent="0.3">
      <c r="B5" s="248" t="s">
        <v>175</v>
      </c>
      <c r="C5" s="84">
        <v>100</v>
      </c>
      <c r="D5" s="84">
        <v>40</v>
      </c>
      <c r="E5" s="246">
        <f>SUM(C5:D5)</f>
        <v>140</v>
      </c>
    </row>
    <row r="6" spans="2:5" ht="15.75" thickBot="1" x14ac:dyDescent="0.3">
      <c r="B6" s="248" t="s">
        <v>176</v>
      </c>
      <c r="C6" s="84">
        <v>150</v>
      </c>
      <c r="D6" s="84">
        <v>25</v>
      </c>
      <c r="E6" s="246">
        <f t="shared" ref="E6:E10" si="0">SUM(C6:D6)</f>
        <v>175</v>
      </c>
    </row>
    <row r="7" spans="2:5" ht="15.75" thickBot="1" x14ac:dyDescent="0.3">
      <c r="B7" s="248" t="s">
        <v>177</v>
      </c>
      <c r="C7" s="84">
        <v>240</v>
      </c>
      <c r="D7" s="84">
        <v>41</v>
      </c>
      <c r="E7" s="246">
        <f t="shared" si="0"/>
        <v>281</v>
      </c>
    </row>
    <row r="8" spans="2:5" ht="15.75" thickBot="1" x14ac:dyDescent="0.3">
      <c r="B8" s="248" t="s">
        <v>178</v>
      </c>
      <c r="C8" s="84">
        <v>95</v>
      </c>
      <c r="D8" s="84">
        <v>52</v>
      </c>
      <c r="E8" s="246">
        <f t="shared" si="0"/>
        <v>147</v>
      </c>
    </row>
    <row r="9" spans="2:5" ht="15.75" thickBot="1" x14ac:dyDescent="0.3">
      <c r="B9" s="248" t="s">
        <v>179</v>
      </c>
      <c r="C9" s="84">
        <v>75</v>
      </c>
      <c r="D9" s="84">
        <v>167</v>
      </c>
      <c r="E9" s="246">
        <f t="shared" si="0"/>
        <v>242</v>
      </c>
    </row>
    <row r="10" spans="2:5" ht="15.75" thickBot="1" x14ac:dyDescent="0.3">
      <c r="B10" s="248" t="s">
        <v>180</v>
      </c>
      <c r="C10" s="84">
        <v>175</v>
      </c>
      <c r="D10" s="84">
        <v>286</v>
      </c>
      <c r="E10" s="246">
        <f t="shared" si="0"/>
        <v>461</v>
      </c>
    </row>
  </sheetData>
  <sheetProtection algorithmName="SHA-512" hashValue="oOXqGKoYOsYOX8wZADRr5y3gwJHlWQOTtQRhw4PzLAN7VTYZBTZ6sdGMWQxbeIRpDh6ZY0ew7OaTp7s/97AkaQ==" saltValue="zYyaAay3pXhqP8T+QHdXLQ==" spinCount="100000" sheet="1" objects="1" scenarios="1"/>
  <mergeCells count="1">
    <mergeCell ref="B2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E8"/>
  <sheetViews>
    <sheetView workbookViewId="0">
      <selection activeCell="K2" sqref="K2"/>
    </sheetView>
  </sheetViews>
  <sheetFormatPr baseColWidth="10" defaultRowHeight="15" x14ac:dyDescent="0.25"/>
  <sheetData>
    <row r="2" spans="1:5" ht="18" x14ac:dyDescent="0.35">
      <c r="B2" s="389" t="s">
        <v>181</v>
      </c>
      <c r="C2" s="389"/>
      <c r="D2" s="389"/>
      <c r="E2" s="389"/>
    </row>
    <row r="4" spans="1:5" x14ac:dyDescent="0.25">
      <c r="A4" s="252"/>
      <c r="B4" s="251" t="s">
        <v>182</v>
      </c>
      <c r="C4" s="251" t="s">
        <v>183</v>
      </c>
      <c r="D4" s="251" t="s">
        <v>184</v>
      </c>
      <c r="E4" s="251" t="s">
        <v>185</v>
      </c>
    </row>
    <row r="5" spans="1:5" x14ac:dyDescent="0.25">
      <c r="A5" s="250" t="s">
        <v>186</v>
      </c>
      <c r="B5" s="250">
        <v>150000</v>
      </c>
      <c r="C5" s="250">
        <v>155000</v>
      </c>
      <c r="D5" s="250">
        <v>160000</v>
      </c>
      <c r="E5" s="250">
        <f>SUM(B5:D5)</f>
        <v>465000</v>
      </c>
    </row>
    <row r="6" spans="1:5" x14ac:dyDescent="0.25">
      <c r="A6" s="250" t="s">
        <v>187</v>
      </c>
      <c r="B6" s="250">
        <v>175000</v>
      </c>
      <c r="C6" s="250">
        <v>170000</v>
      </c>
      <c r="D6" s="250">
        <v>179000</v>
      </c>
      <c r="E6" s="250">
        <f t="shared" ref="E6:E8" si="0">SUM(B6:D6)</f>
        <v>524000</v>
      </c>
    </row>
    <row r="7" spans="1:5" x14ac:dyDescent="0.25">
      <c r="A7" s="250" t="s">
        <v>188</v>
      </c>
      <c r="B7" s="250">
        <v>185000</v>
      </c>
      <c r="C7" s="250">
        <v>190000</v>
      </c>
      <c r="D7" s="250">
        <v>195000</v>
      </c>
      <c r="E7" s="250">
        <f t="shared" si="0"/>
        <v>570000</v>
      </c>
    </row>
    <row r="8" spans="1:5" x14ac:dyDescent="0.25">
      <c r="A8" s="250" t="s">
        <v>189</v>
      </c>
      <c r="B8" s="250">
        <v>145000</v>
      </c>
      <c r="C8" s="250">
        <v>200000</v>
      </c>
      <c r="D8" s="250">
        <v>205000</v>
      </c>
      <c r="E8" s="250">
        <f t="shared" si="0"/>
        <v>550000</v>
      </c>
    </row>
  </sheetData>
  <sheetProtection algorithmName="SHA-512" hashValue="ABnWG8G7gU9MMnx7VQx00fOO5guRMA1/HeBkOKudpsGJZExq5C8LXgoPh8jWL2rOECt65m3mzUIyOKbHJpzFDw==" saltValue="Cz/okJfy0LKNAhiQsJY1qw==" spinCount="100000" sheet="1" objects="1" scenarios="1"/>
  <mergeCells count="1">
    <mergeCell ref="B2:E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D29"/>
  <sheetViews>
    <sheetView topLeftCell="B1" workbookViewId="0">
      <selection activeCell="B29" sqref="B29"/>
    </sheetView>
  </sheetViews>
  <sheetFormatPr baseColWidth="10" defaultRowHeight="15" x14ac:dyDescent="0.25"/>
  <cols>
    <col min="2" max="2" width="18.28515625" customWidth="1"/>
  </cols>
  <sheetData>
    <row r="2" spans="2:3" x14ac:dyDescent="0.25">
      <c r="B2" s="390" t="s">
        <v>190</v>
      </c>
      <c r="C2" s="390"/>
    </row>
    <row r="4" spans="2:3" x14ac:dyDescent="0.25">
      <c r="B4" s="254" t="s">
        <v>191</v>
      </c>
      <c r="C4" s="253">
        <v>0.22</v>
      </c>
    </row>
    <row r="5" spans="2:3" x14ac:dyDescent="0.25">
      <c r="B5" s="254" t="s">
        <v>192</v>
      </c>
      <c r="C5" s="253">
        <v>0.25</v>
      </c>
    </row>
    <row r="6" spans="2:3" x14ac:dyDescent="0.25">
      <c r="B6" s="254" t="s">
        <v>193</v>
      </c>
      <c r="C6" s="253">
        <v>0.12</v>
      </c>
    </row>
    <row r="7" spans="2:3" x14ac:dyDescent="0.25">
      <c r="B7" s="254" t="s">
        <v>195</v>
      </c>
      <c r="C7" s="253">
        <v>0.16</v>
      </c>
    </row>
    <row r="8" spans="2:3" x14ac:dyDescent="0.25">
      <c r="B8" s="254" t="s">
        <v>194</v>
      </c>
      <c r="C8" s="253">
        <v>0.12</v>
      </c>
    </row>
    <row r="9" spans="2:3" x14ac:dyDescent="0.25">
      <c r="B9" s="254" t="s">
        <v>196</v>
      </c>
      <c r="C9" s="253">
        <v>0.13</v>
      </c>
    </row>
    <row r="18" spans="2:4" x14ac:dyDescent="0.25">
      <c r="B18" s="391" t="s">
        <v>197</v>
      </c>
      <c r="C18" s="391"/>
      <c r="D18" s="391"/>
    </row>
    <row r="20" spans="2:4" ht="15.75" thickBot="1" x14ac:dyDescent="0.3">
      <c r="B20" s="255" t="s">
        <v>198</v>
      </c>
      <c r="C20" s="255" t="s">
        <v>199</v>
      </c>
      <c r="D20" s="81"/>
    </row>
    <row r="21" spans="2:4" x14ac:dyDescent="0.25">
      <c r="B21">
        <v>1990</v>
      </c>
      <c r="C21">
        <v>1200</v>
      </c>
    </row>
    <row r="22" spans="2:4" x14ac:dyDescent="0.25">
      <c r="B22">
        <v>1991</v>
      </c>
      <c r="C22">
        <v>1250</v>
      </c>
    </row>
    <row r="23" spans="2:4" x14ac:dyDescent="0.25">
      <c r="B23">
        <v>1992</v>
      </c>
      <c r="C23">
        <v>1375</v>
      </c>
    </row>
    <row r="24" spans="2:4" x14ac:dyDescent="0.25">
      <c r="B24">
        <v>1993</v>
      </c>
      <c r="C24">
        <v>1400</v>
      </c>
    </row>
    <row r="25" spans="2:4" x14ac:dyDescent="0.25">
      <c r="B25">
        <v>1994</v>
      </c>
      <c r="C25">
        <v>1300</v>
      </c>
    </row>
    <row r="26" spans="2:4" x14ac:dyDescent="0.25">
      <c r="B26">
        <v>1995</v>
      </c>
      <c r="C26">
        <v>1450</v>
      </c>
    </row>
    <row r="27" spans="2:4" x14ac:dyDescent="0.25">
      <c r="B27">
        <v>1996</v>
      </c>
      <c r="C27">
        <v>1600</v>
      </c>
    </row>
    <row r="28" spans="2:4" x14ac:dyDescent="0.25">
      <c r="B28">
        <v>1997</v>
      </c>
      <c r="C28">
        <v>1580</v>
      </c>
    </row>
    <row r="29" spans="2:4" x14ac:dyDescent="0.25">
      <c r="B29">
        <v>1998</v>
      </c>
      <c r="C29">
        <v>1700</v>
      </c>
    </row>
  </sheetData>
  <sheetProtection algorithmName="SHA-512" hashValue="w0LeV1UJgD7ey72HwI38SxMNTsaoG8oa8/9Ur8k1Or5hsKOhf5FQNJId8prPxqGPjD1uf7giqQyahjhxSoAkgg==" saltValue="LYUhPvcUGxTV3CDDZfFGGw==" spinCount="100000" sheet="1" objects="1" scenarios="1"/>
  <mergeCells count="2">
    <mergeCell ref="B2:C2"/>
    <mergeCell ref="B18:D1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2"/>
  <sheetViews>
    <sheetView workbookViewId="0">
      <selection activeCell="K2" sqref="K2"/>
    </sheetView>
  </sheetViews>
  <sheetFormatPr baseColWidth="10" defaultRowHeight="15" x14ac:dyDescent="0.25"/>
  <cols>
    <col min="7" max="7" width="13.85546875" bestFit="1" customWidth="1"/>
  </cols>
  <sheetData>
    <row r="1" spans="1:7" x14ac:dyDescent="0.25">
      <c r="A1" s="256" t="s">
        <v>74</v>
      </c>
      <c r="B1" s="257" t="s">
        <v>200</v>
      </c>
      <c r="C1" s="258" t="s">
        <v>201</v>
      </c>
      <c r="D1" s="257" t="s">
        <v>202</v>
      </c>
      <c r="E1" s="258" t="s">
        <v>203</v>
      </c>
      <c r="F1" s="258" t="s">
        <v>204</v>
      </c>
      <c r="G1" s="259" t="s">
        <v>205</v>
      </c>
    </row>
    <row r="2" spans="1:7" x14ac:dyDescent="0.25">
      <c r="A2" s="260" t="s">
        <v>206</v>
      </c>
      <c r="B2" s="261" t="s">
        <v>207</v>
      </c>
      <c r="C2" s="261">
        <v>14</v>
      </c>
      <c r="D2" s="261" t="s">
        <v>208</v>
      </c>
      <c r="E2" s="261" t="s">
        <v>209</v>
      </c>
      <c r="F2" s="262">
        <v>15.02</v>
      </c>
      <c r="G2" s="263">
        <v>38960</v>
      </c>
    </row>
    <row r="3" spans="1:7" x14ac:dyDescent="0.25">
      <c r="A3" s="260" t="s">
        <v>210</v>
      </c>
      <c r="B3" s="261" t="s">
        <v>211</v>
      </c>
      <c r="C3" s="261">
        <v>24</v>
      </c>
      <c r="D3" s="261" t="s">
        <v>212</v>
      </c>
      <c r="E3" s="261" t="s">
        <v>209</v>
      </c>
      <c r="F3" s="262">
        <v>13.22</v>
      </c>
      <c r="G3" s="263">
        <v>39143</v>
      </c>
    </row>
    <row r="4" spans="1:7" x14ac:dyDescent="0.25">
      <c r="A4" s="260" t="s">
        <v>213</v>
      </c>
      <c r="B4" s="261" t="s">
        <v>214</v>
      </c>
      <c r="C4" s="261">
        <v>37</v>
      </c>
      <c r="D4" s="261" t="s">
        <v>212</v>
      </c>
      <c r="E4" s="261" t="s">
        <v>209</v>
      </c>
      <c r="F4" s="262">
        <v>25.24</v>
      </c>
      <c r="G4" s="263">
        <v>39146</v>
      </c>
    </row>
    <row r="5" spans="1:7" x14ac:dyDescent="0.25">
      <c r="A5" s="260" t="s">
        <v>215</v>
      </c>
      <c r="B5" s="261" t="s">
        <v>216</v>
      </c>
      <c r="C5" s="261">
        <v>39</v>
      </c>
      <c r="D5" s="261" t="s">
        <v>217</v>
      </c>
      <c r="E5" s="261" t="s">
        <v>209</v>
      </c>
      <c r="F5" s="262">
        <v>48.68</v>
      </c>
      <c r="G5" s="263">
        <v>38934</v>
      </c>
    </row>
    <row r="6" spans="1:7" x14ac:dyDescent="0.25">
      <c r="A6" s="260" t="s">
        <v>218</v>
      </c>
      <c r="B6" s="261" t="s">
        <v>219</v>
      </c>
      <c r="C6" s="261">
        <v>42</v>
      </c>
      <c r="D6" s="261" t="s">
        <v>220</v>
      </c>
      <c r="E6" s="261" t="s">
        <v>209</v>
      </c>
      <c r="F6" s="262">
        <v>6.61</v>
      </c>
      <c r="G6" s="263">
        <v>38745</v>
      </c>
    </row>
    <row r="7" spans="1:7" x14ac:dyDescent="0.25">
      <c r="A7" s="260" t="s">
        <v>221</v>
      </c>
      <c r="B7" s="261" t="s">
        <v>221</v>
      </c>
      <c r="C7" s="261">
        <v>45</v>
      </c>
      <c r="D7" s="261" t="s">
        <v>217</v>
      </c>
      <c r="E7" s="261" t="s">
        <v>209</v>
      </c>
      <c r="F7" s="262">
        <v>27.04</v>
      </c>
      <c r="G7" s="263">
        <v>38903</v>
      </c>
    </row>
    <row r="8" spans="1:7" x14ac:dyDescent="0.25">
      <c r="A8" s="260" t="s">
        <v>222</v>
      </c>
      <c r="B8" s="261" t="s">
        <v>223</v>
      </c>
      <c r="C8" s="261">
        <v>45</v>
      </c>
      <c r="D8" s="261" t="s">
        <v>212</v>
      </c>
      <c r="E8" s="261" t="s">
        <v>209</v>
      </c>
      <c r="F8" s="262">
        <v>31.25</v>
      </c>
      <c r="G8" s="263">
        <v>39172</v>
      </c>
    </row>
    <row r="9" spans="1:7" x14ac:dyDescent="0.25">
      <c r="A9" s="260" t="s">
        <v>224</v>
      </c>
      <c r="B9" s="261" t="s">
        <v>225</v>
      </c>
      <c r="C9" s="261">
        <v>23</v>
      </c>
      <c r="D9" s="261" t="s">
        <v>226</v>
      </c>
      <c r="E9" s="261" t="s">
        <v>227</v>
      </c>
      <c r="F9" s="262">
        <v>13.82</v>
      </c>
      <c r="G9" s="263">
        <v>39080</v>
      </c>
    </row>
    <row r="10" spans="1:7" x14ac:dyDescent="0.25">
      <c r="A10" s="260" t="s">
        <v>228</v>
      </c>
      <c r="B10" s="261" t="s">
        <v>229</v>
      </c>
      <c r="C10" s="261">
        <v>23</v>
      </c>
      <c r="D10" s="261" t="s">
        <v>226</v>
      </c>
      <c r="E10" s="261" t="s">
        <v>227</v>
      </c>
      <c r="F10" s="262">
        <v>48.08</v>
      </c>
      <c r="G10" s="263">
        <v>39025</v>
      </c>
    </row>
    <row r="11" spans="1:7" x14ac:dyDescent="0.25">
      <c r="A11" s="260" t="s">
        <v>230</v>
      </c>
      <c r="B11" s="261" t="s">
        <v>231</v>
      </c>
      <c r="C11" s="261">
        <v>24</v>
      </c>
      <c r="D11" s="261" t="s">
        <v>217</v>
      </c>
      <c r="E11" s="261" t="s">
        <v>227</v>
      </c>
      <c r="F11" s="262">
        <v>12.62</v>
      </c>
      <c r="G11" s="263">
        <v>38717</v>
      </c>
    </row>
    <row r="12" spans="1:7" x14ac:dyDescent="0.25">
      <c r="A12" s="260" t="s">
        <v>232</v>
      </c>
      <c r="B12" s="261" t="s">
        <v>211</v>
      </c>
      <c r="C12" s="261">
        <v>30</v>
      </c>
      <c r="D12" s="261" t="s">
        <v>217</v>
      </c>
      <c r="E12" s="261" t="s">
        <v>227</v>
      </c>
      <c r="F12" s="262">
        <v>43.87</v>
      </c>
      <c r="G12" s="263">
        <v>38997</v>
      </c>
    </row>
    <row r="13" spans="1:7" x14ac:dyDescent="0.25">
      <c r="A13" s="260" t="s">
        <v>233</v>
      </c>
      <c r="B13" s="261" t="s">
        <v>234</v>
      </c>
      <c r="C13" s="261">
        <v>33</v>
      </c>
      <c r="D13" s="261" t="s">
        <v>220</v>
      </c>
      <c r="E13" s="261" t="s">
        <v>227</v>
      </c>
      <c r="F13" s="262">
        <v>19.829999999999998</v>
      </c>
      <c r="G13" s="263">
        <v>38717</v>
      </c>
    </row>
    <row r="14" spans="1:7" x14ac:dyDescent="0.25">
      <c r="A14" s="260" t="s">
        <v>235</v>
      </c>
      <c r="B14" s="261" t="s">
        <v>236</v>
      </c>
      <c r="C14" s="261">
        <v>34</v>
      </c>
      <c r="D14" s="261" t="s">
        <v>220</v>
      </c>
      <c r="E14" s="261" t="s">
        <v>227</v>
      </c>
      <c r="F14" s="262">
        <v>13.82</v>
      </c>
      <c r="G14" s="263">
        <v>38838</v>
      </c>
    </row>
    <row r="15" spans="1:7" x14ac:dyDescent="0.25">
      <c r="A15" s="260" t="s">
        <v>237</v>
      </c>
      <c r="B15" s="261" t="s">
        <v>214</v>
      </c>
      <c r="C15" s="261">
        <v>40</v>
      </c>
      <c r="D15" s="261" t="s">
        <v>220</v>
      </c>
      <c r="E15" s="261" t="s">
        <v>227</v>
      </c>
      <c r="F15" s="262">
        <v>15.62</v>
      </c>
      <c r="G15" s="263">
        <v>39143</v>
      </c>
    </row>
    <row r="16" spans="1:7" x14ac:dyDescent="0.25">
      <c r="A16" s="260" t="s">
        <v>238</v>
      </c>
      <c r="B16" s="261" t="s">
        <v>239</v>
      </c>
      <c r="C16" s="261">
        <v>42</v>
      </c>
      <c r="D16" s="261" t="s">
        <v>226</v>
      </c>
      <c r="E16" s="261" t="s">
        <v>227</v>
      </c>
      <c r="F16" s="262">
        <v>19.23</v>
      </c>
      <c r="G16" s="263">
        <v>39060</v>
      </c>
    </row>
    <row r="17" spans="1:7" x14ac:dyDescent="0.25">
      <c r="A17" s="260" t="s">
        <v>240</v>
      </c>
      <c r="B17" s="261" t="s">
        <v>241</v>
      </c>
      <c r="C17" s="261">
        <v>43</v>
      </c>
      <c r="D17" s="261" t="s">
        <v>217</v>
      </c>
      <c r="E17" s="261" t="s">
        <v>227</v>
      </c>
      <c r="F17" s="262">
        <v>43.27</v>
      </c>
      <c r="G17" s="263">
        <v>38933</v>
      </c>
    </row>
    <row r="18" spans="1:7" x14ac:dyDescent="0.25">
      <c r="A18" s="260" t="s">
        <v>242</v>
      </c>
      <c r="B18" s="261" t="s">
        <v>242</v>
      </c>
      <c r="C18" s="261">
        <v>45</v>
      </c>
      <c r="D18" s="261" t="s">
        <v>226</v>
      </c>
      <c r="E18" s="261" t="s">
        <v>227</v>
      </c>
      <c r="F18" s="262">
        <v>36.659999999999997</v>
      </c>
      <c r="G18" s="263">
        <v>39266</v>
      </c>
    </row>
    <row r="19" spans="1:7" x14ac:dyDescent="0.25">
      <c r="A19" s="260" t="s">
        <v>219</v>
      </c>
      <c r="B19" s="261" t="s">
        <v>243</v>
      </c>
      <c r="C19" s="261">
        <v>52</v>
      </c>
      <c r="D19" s="261" t="s">
        <v>226</v>
      </c>
      <c r="E19" s="261" t="s">
        <v>227</v>
      </c>
      <c r="F19" s="262">
        <v>31.25</v>
      </c>
      <c r="G19" s="263">
        <v>38808</v>
      </c>
    </row>
    <row r="20" spans="1:7" x14ac:dyDescent="0.25">
      <c r="A20" s="260" t="s">
        <v>244</v>
      </c>
      <c r="B20" s="261" t="s">
        <v>245</v>
      </c>
      <c r="C20" s="261">
        <v>52</v>
      </c>
      <c r="D20" s="261" t="s">
        <v>212</v>
      </c>
      <c r="E20" s="261" t="s">
        <v>227</v>
      </c>
      <c r="F20" s="262">
        <v>19.23</v>
      </c>
      <c r="G20" s="263">
        <v>39138</v>
      </c>
    </row>
    <row r="21" spans="1:7" x14ac:dyDescent="0.25">
      <c r="A21" s="264" t="s">
        <v>246</v>
      </c>
      <c r="B21" s="261" t="s">
        <v>247</v>
      </c>
      <c r="C21" s="261">
        <v>53</v>
      </c>
      <c r="D21" s="261" t="s">
        <v>212</v>
      </c>
      <c r="E21" s="261" t="s">
        <v>227</v>
      </c>
      <c r="F21" s="262">
        <v>27.04</v>
      </c>
      <c r="G21" s="263">
        <v>38777</v>
      </c>
    </row>
    <row r="22" spans="1:7" ht="15.75" thickBot="1" x14ac:dyDescent="0.3">
      <c r="A22" s="265" t="s">
        <v>248</v>
      </c>
      <c r="B22" s="266" t="s">
        <v>249</v>
      </c>
      <c r="C22" s="266">
        <v>55</v>
      </c>
      <c r="D22" s="266" t="s">
        <v>208</v>
      </c>
      <c r="E22" s="266" t="s">
        <v>227</v>
      </c>
      <c r="F22" s="267">
        <v>27.04</v>
      </c>
      <c r="G22" s="268">
        <v>38960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selection activeCell="I2" sqref="I2"/>
    </sheetView>
  </sheetViews>
  <sheetFormatPr baseColWidth="10" defaultRowHeight="15" x14ac:dyDescent="0.25"/>
  <cols>
    <col min="2" max="6" width="14.28515625" customWidth="1"/>
  </cols>
  <sheetData>
    <row r="1" spans="1:7" x14ac:dyDescent="0.25">
      <c r="A1" s="54"/>
      <c r="B1" s="355" t="s">
        <v>100</v>
      </c>
      <c r="C1" s="355"/>
      <c r="D1" s="355"/>
      <c r="E1" s="355"/>
      <c r="F1" s="355"/>
      <c r="G1" s="54"/>
    </row>
    <row r="2" spans="1:7" x14ac:dyDescent="0.25">
      <c r="A2" s="54"/>
      <c r="B2" s="355"/>
      <c r="C2" s="355"/>
      <c r="D2" s="355"/>
      <c r="E2" s="355"/>
      <c r="F2" s="355"/>
      <c r="G2" s="54"/>
    </row>
    <row r="3" spans="1:7" x14ac:dyDescent="0.25">
      <c r="A3" s="54"/>
      <c r="B3" s="54"/>
      <c r="C3" s="54"/>
      <c r="D3" s="54"/>
      <c r="E3" s="54"/>
      <c r="F3" s="54"/>
      <c r="G3" s="54"/>
    </row>
    <row r="4" spans="1:7" x14ac:dyDescent="0.25">
      <c r="A4" s="55"/>
      <c r="B4" s="56" t="s">
        <v>101</v>
      </c>
      <c r="C4" s="56" t="s">
        <v>102</v>
      </c>
      <c r="D4" s="56" t="s">
        <v>103</v>
      </c>
      <c r="E4" s="56" t="s">
        <v>104</v>
      </c>
      <c r="F4" s="56" t="s">
        <v>105</v>
      </c>
      <c r="G4" s="56" t="s">
        <v>18</v>
      </c>
    </row>
    <row r="5" spans="1:7" x14ac:dyDescent="0.25">
      <c r="A5" s="57" t="s">
        <v>13</v>
      </c>
      <c r="B5" s="58"/>
      <c r="C5" s="58"/>
      <c r="D5" s="58"/>
      <c r="E5" s="58"/>
      <c r="F5" s="58"/>
      <c r="G5" s="57">
        <f>SUM(B5:F5)</f>
        <v>0</v>
      </c>
    </row>
    <row r="6" spans="1:7" x14ac:dyDescent="0.25">
      <c r="A6" s="57" t="s">
        <v>14</v>
      </c>
      <c r="B6" s="58"/>
      <c r="C6" s="58"/>
      <c r="D6" s="58"/>
      <c r="E6" s="58"/>
      <c r="F6" s="58"/>
      <c r="G6" s="57">
        <f t="shared" ref="G6:G17" si="0">SUM(B6:F6)</f>
        <v>0</v>
      </c>
    </row>
    <row r="7" spans="1:7" x14ac:dyDescent="0.25">
      <c r="A7" s="57" t="s">
        <v>15</v>
      </c>
      <c r="B7" s="58"/>
      <c r="C7" s="58"/>
      <c r="D7" s="58"/>
      <c r="E7" s="58"/>
      <c r="F7" s="58"/>
      <c r="G7" s="57">
        <f t="shared" si="0"/>
        <v>0</v>
      </c>
    </row>
    <row r="8" spans="1:7" x14ac:dyDescent="0.25">
      <c r="A8" s="57" t="s">
        <v>16</v>
      </c>
      <c r="B8" s="58"/>
      <c r="C8" s="58"/>
      <c r="D8" s="58"/>
      <c r="E8" s="58"/>
      <c r="F8" s="58"/>
      <c r="G8" s="57">
        <f t="shared" si="0"/>
        <v>0</v>
      </c>
    </row>
    <row r="9" spans="1:7" x14ac:dyDescent="0.25">
      <c r="A9" s="57" t="s">
        <v>17</v>
      </c>
      <c r="B9" s="58"/>
      <c r="C9" s="58"/>
      <c r="D9" s="58"/>
      <c r="E9" s="58"/>
      <c r="F9" s="58"/>
      <c r="G9" s="57">
        <f t="shared" si="0"/>
        <v>0</v>
      </c>
    </row>
    <row r="10" spans="1:7" x14ac:dyDescent="0.25">
      <c r="A10" s="57" t="s">
        <v>106</v>
      </c>
      <c r="B10" s="58"/>
      <c r="C10" s="58"/>
      <c r="D10" s="58"/>
      <c r="E10" s="58"/>
      <c r="F10" s="58"/>
      <c r="G10" s="57">
        <f t="shared" si="0"/>
        <v>0</v>
      </c>
    </row>
    <row r="11" spans="1:7" x14ac:dyDescent="0.25">
      <c r="A11" s="57" t="s">
        <v>107</v>
      </c>
      <c r="B11" s="58"/>
      <c r="C11" s="58"/>
      <c r="D11" s="58"/>
      <c r="E11" s="58"/>
      <c r="F11" s="58"/>
      <c r="G11" s="57">
        <f t="shared" si="0"/>
        <v>0</v>
      </c>
    </row>
    <row r="12" spans="1:7" x14ac:dyDescent="0.25">
      <c r="A12" s="57" t="s">
        <v>108</v>
      </c>
      <c r="B12" s="58"/>
      <c r="C12" s="58"/>
      <c r="D12" s="58"/>
      <c r="E12" s="58"/>
      <c r="F12" s="58"/>
      <c r="G12" s="57">
        <f t="shared" si="0"/>
        <v>0</v>
      </c>
    </row>
    <row r="13" spans="1:7" x14ac:dyDescent="0.25">
      <c r="A13" s="57" t="s">
        <v>109</v>
      </c>
      <c r="B13" s="58"/>
      <c r="C13" s="58"/>
      <c r="D13" s="58"/>
      <c r="E13" s="58"/>
      <c r="F13" s="58"/>
      <c r="G13" s="57">
        <f t="shared" si="0"/>
        <v>0</v>
      </c>
    </row>
    <row r="14" spans="1:7" x14ac:dyDescent="0.25">
      <c r="A14" s="57" t="s">
        <v>110</v>
      </c>
      <c r="B14" s="58"/>
      <c r="C14" s="58"/>
      <c r="D14" s="58"/>
      <c r="E14" s="58"/>
      <c r="F14" s="58"/>
      <c r="G14" s="57">
        <f t="shared" si="0"/>
        <v>0</v>
      </c>
    </row>
    <row r="15" spans="1:7" x14ac:dyDescent="0.25">
      <c r="A15" s="57" t="s">
        <v>111</v>
      </c>
      <c r="B15" s="58"/>
      <c r="C15" s="58"/>
      <c r="D15" s="58"/>
      <c r="E15" s="58"/>
      <c r="F15" s="58"/>
      <c r="G15" s="57">
        <f t="shared" si="0"/>
        <v>0</v>
      </c>
    </row>
    <row r="16" spans="1:7" x14ac:dyDescent="0.25">
      <c r="A16" s="57" t="s">
        <v>112</v>
      </c>
      <c r="B16" s="58"/>
      <c r="C16" s="58"/>
      <c r="D16" s="58"/>
      <c r="E16" s="58"/>
      <c r="F16" s="58"/>
      <c r="G16" s="57">
        <f t="shared" si="0"/>
        <v>0</v>
      </c>
    </row>
    <row r="17" spans="1:7" x14ac:dyDescent="0.25">
      <c r="A17" s="57" t="s">
        <v>18</v>
      </c>
      <c r="B17" s="57">
        <f>+SUM(B5:B16)</f>
        <v>0</v>
      </c>
      <c r="C17" s="57">
        <f t="shared" ref="C17:F17" si="1">+SUM(C5:C16)</f>
        <v>0</v>
      </c>
      <c r="D17" s="57">
        <f t="shared" si="1"/>
        <v>0</v>
      </c>
      <c r="E17" s="57">
        <f t="shared" si="1"/>
        <v>0</v>
      </c>
      <c r="F17" s="57">
        <f t="shared" si="1"/>
        <v>0</v>
      </c>
      <c r="G17" s="57">
        <f t="shared" si="0"/>
        <v>0</v>
      </c>
    </row>
  </sheetData>
  <sheetProtection algorithmName="SHA-512" hashValue="hsnZtJtTF5YmJ58sD0cCtz6ovjUKJZ2lBO6kqHbwfabzAi2BqHG9nD2ej18AKcdxKh40y4qRA42BxqjBGXpzIA==" saltValue="KptK1jeBoXQticqpXe5yWA==" spinCount="100000" sheet="1" objects="1" scenarios="1"/>
  <protectedRanges>
    <protectedRange sqref="B5:F16" name="Rango1"/>
  </protectedRanges>
  <mergeCells count="1">
    <mergeCell ref="B1:F2"/>
  </mergeCells>
  <conditionalFormatting sqref="B5:F16">
    <cfRule type="cellIs" dxfId="9" priority="1" operator="lessThan">
      <formula>10</formula>
    </cfRule>
    <cfRule type="cellIs" dxfId="8" priority="2" operator="greaterThan">
      <formula>100</formula>
    </cfRule>
  </conditionalFormatting>
  <dataValidations count="1">
    <dataValidation type="whole" operator="greaterThanOrEqual" allowBlank="1" showInputMessage="1" showErrorMessage="1" sqref="B5:F16" xr:uid="{00000000-0002-0000-0200-000000000000}">
      <formula1>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9"/>
  <sheetViews>
    <sheetView workbookViewId="0">
      <selection activeCell="I2" sqref="I2"/>
    </sheetView>
  </sheetViews>
  <sheetFormatPr baseColWidth="10" defaultRowHeight="15" x14ac:dyDescent="0.25"/>
  <cols>
    <col min="1" max="1" width="4" customWidth="1"/>
    <col min="2" max="2" width="10" bestFit="1" customWidth="1"/>
    <col min="3" max="3" width="15.140625" bestFit="1" customWidth="1"/>
    <col min="5" max="5" width="12.85546875" bestFit="1" customWidth="1"/>
    <col min="6" max="6" width="9.28515625" bestFit="1" customWidth="1"/>
    <col min="7" max="7" width="12.5703125" bestFit="1" customWidth="1"/>
  </cols>
  <sheetData>
    <row r="1" spans="2:7" ht="15.75" thickBot="1" x14ac:dyDescent="0.3"/>
    <row r="2" spans="2:7" ht="15.75" thickBot="1" x14ac:dyDescent="0.3">
      <c r="B2" s="59" t="s">
        <v>0</v>
      </c>
      <c r="C2" s="64" t="s">
        <v>1</v>
      </c>
      <c r="D2" s="63" t="s">
        <v>2</v>
      </c>
      <c r="E2" s="63" t="s">
        <v>3</v>
      </c>
      <c r="F2" s="71" t="s">
        <v>4</v>
      </c>
      <c r="G2" s="59" t="s">
        <v>5</v>
      </c>
    </row>
    <row r="3" spans="2:7" x14ac:dyDescent="0.25">
      <c r="B3" s="68" t="s">
        <v>6</v>
      </c>
      <c r="C3" s="65">
        <v>30</v>
      </c>
      <c r="D3" s="62">
        <v>20</v>
      </c>
      <c r="E3" s="62">
        <f>+C3+D3</f>
        <v>50</v>
      </c>
      <c r="F3" s="72">
        <v>15</v>
      </c>
      <c r="G3" s="75">
        <f>+E3*F3</f>
        <v>750</v>
      </c>
    </row>
    <row r="4" spans="2:7" x14ac:dyDescent="0.25">
      <c r="B4" s="69" t="s">
        <v>7</v>
      </c>
      <c r="C4" s="66">
        <v>25</v>
      </c>
      <c r="D4" s="60">
        <v>15</v>
      </c>
      <c r="E4" s="60">
        <f t="shared" ref="E4:E9" si="0">+C4+D4</f>
        <v>40</v>
      </c>
      <c r="F4" s="73">
        <v>15</v>
      </c>
      <c r="G4" s="76">
        <f t="shared" ref="G4:G9" si="1">+E4*F4</f>
        <v>600</v>
      </c>
    </row>
    <row r="5" spans="2:7" x14ac:dyDescent="0.25">
      <c r="B5" s="69" t="s">
        <v>8</v>
      </c>
      <c r="C5" s="66">
        <v>45</v>
      </c>
      <c r="D5" s="60">
        <v>25</v>
      </c>
      <c r="E5" s="60">
        <f t="shared" si="0"/>
        <v>70</v>
      </c>
      <c r="F5" s="73">
        <v>10</v>
      </c>
      <c r="G5" s="76">
        <f t="shared" si="1"/>
        <v>700</v>
      </c>
    </row>
    <row r="6" spans="2:7" x14ac:dyDescent="0.25">
      <c r="B6" s="69" t="s">
        <v>9</v>
      </c>
      <c r="C6" s="66">
        <v>23</v>
      </c>
      <c r="D6" s="60">
        <v>15</v>
      </c>
      <c r="E6" s="60">
        <f t="shared" si="0"/>
        <v>38</v>
      </c>
      <c r="F6" s="73">
        <v>20</v>
      </c>
      <c r="G6" s="76">
        <f t="shared" si="1"/>
        <v>760</v>
      </c>
    </row>
    <row r="7" spans="2:7" x14ac:dyDescent="0.25">
      <c r="B7" s="69" t="s">
        <v>10</v>
      </c>
      <c r="C7" s="66">
        <v>20</v>
      </c>
      <c r="D7" s="60">
        <v>10</v>
      </c>
      <c r="E7" s="60">
        <f t="shared" si="0"/>
        <v>30</v>
      </c>
      <c r="F7" s="73">
        <v>25</v>
      </c>
      <c r="G7" s="76">
        <f t="shared" si="1"/>
        <v>750</v>
      </c>
    </row>
    <row r="8" spans="2:7" x14ac:dyDescent="0.25">
      <c r="B8" s="69" t="s">
        <v>11</v>
      </c>
      <c r="C8" s="66">
        <v>32</v>
      </c>
      <c r="D8" s="60">
        <v>20</v>
      </c>
      <c r="E8" s="60">
        <f t="shared" si="0"/>
        <v>52</v>
      </c>
      <c r="F8" s="73">
        <v>25</v>
      </c>
      <c r="G8" s="76">
        <f t="shared" si="1"/>
        <v>1300</v>
      </c>
    </row>
    <row r="9" spans="2:7" ht="15.75" thickBot="1" x14ac:dyDescent="0.3">
      <c r="B9" s="70" t="s">
        <v>12</v>
      </c>
      <c r="C9" s="67">
        <v>25</v>
      </c>
      <c r="D9" s="61">
        <v>10</v>
      </c>
      <c r="E9" s="61">
        <f t="shared" si="0"/>
        <v>35</v>
      </c>
      <c r="F9" s="74">
        <v>15</v>
      </c>
      <c r="G9" s="77">
        <f t="shared" si="1"/>
        <v>525</v>
      </c>
    </row>
    <row r="11" spans="2:7" ht="15.75" thickBot="1" x14ac:dyDescent="0.3"/>
    <row r="12" spans="2:7" ht="15.75" thickBot="1" x14ac:dyDescent="0.3">
      <c r="B12" s="59" t="s">
        <v>0</v>
      </c>
      <c r="C12" s="64" t="s">
        <v>1</v>
      </c>
      <c r="D12" s="63" t="s">
        <v>2</v>
      </c>
      <c r="E12" s="63" t="s">
        <v>3</v>
      </c>
      <c r="F12" s="71" t="s">
        <v>4</v>
      </c>
      <c r="G12" s="59" t="s">
        <v>5</v>
      </c>
    </row>
    <row r="13" spans="2:7" x14ac:dyDescent="0.25">
      <c r="B13" s="68" t="s">
        <v>6</v>
      </c>
      <c r="C13" s="65">
        <v>30</v>
      </c>
      <c r="D13" s="80">
        <v>0.2</v>
      </c>
      <c r="E13" s="62">
        <f>+C13+D13*C13</f>
        <v>36</v>
      </c>
      <c r="F13" s="72">
        <v>15</v>
      </c>
      <c r="G13" s="75">
        <f>+E13*F13</f>
        <v>540</v>
      </c>
    </row>
    <row r="14" spans="2:7" x14ac:dyDescent="0.25">
      <c r="B14" s="69" t="s">
        <v>7</v>
      </c>
      <c r="C14" s="66">
        <v>25</v>
      </c>
      <c r="D14" s="78">
        <v>0.25</v>
      </c>
      <c r="E14" s="60">
        <f t="shared" ref="E14:E19" si="2">+C14+D14*C14</f>
        <v>31.25</v>
      </c>
      <c r="F14" s="73">
        <v>15</v>
      </c>
      <c r="G14" s="76">
        <f t="shared" ref="G14:G19" si="3">+E14*F14</f>
        <v>468.75</v>
      </c>
    </row>
    <row r="15" spans="2:7" x14ac:dyDescent="0.25">
      <c r="B15" s="69" t="s">
        <v>8</v>
      </c>
      <c r="C15" s="66">
        <v>45</v>
      </c>
      <c r="D15" s="78">
        <v>0.5</v>
      </c>
      <c r="E15" s="60">
        <f t="shared" si="2"/>
        <v>67.5</v>
      </c>
      <c r="F15" s="73">
        <v>10</v>
      </c>
      <c r="G15" s="76">
        <f t="shared" si="3"/>
        <v>675</v>
      </c>
    </row>
    <row r="16" spans="2:7" x14ac:dyDescent="0.25">
      <c r="B16" s="69" t="s">
        <v>9</v>
      </c>
      <c r="C16" s="66">
        <v>23</v>
      </c>
      <c r="D16" s="78">
        <v>0.35</v>
      </c>
      <c r="E16" s="60">
        <f t="shared" si="2"/>
        <v>31.049999999999997</v>
      </c>
      <c r="F16" s="73">
        <v>20</v>
      </c>
      <c r="G16" s="76">
        <f t="shared" si="3"/>
        <v>621</v>
      </c>
    </row>
    <row r="17" spans="2:7" x14ac:dyDescent="0.25">
      <c r="B17" s="69" t="s">
        <v>10</v>
      </c>
      <c r="C17" s="66">
        <v>20</v>
      </c>
      <c r="D17" s="78">
        <v>0.3</v>
      </c>
      <c r="E17" s="60">
        <f t="shared" si="2"/>
        <v>26</v>
      </c>
      <c r="F17" s="73">
        <v>25</v>
      </c>
      <c r="G17" s="76">
        <f t="shared" si="3"/>
        <v>650</v>
      </c>
    </row>
    <row r="18" spans="2:7" x14ac:dyDescent="0.25">
      <c r="B18" s="69" t="s">
        <v>11</v>
      </c>
      <c r="C18" s="66">
        <v>32</v>
      </c>
      <c r="D18" s="78">
        <v>0.4</v>
      </c>
      <c r="E18" s="60">
        <f t="shared" si="2"/>
        <v>44.8</v>
      </c>
      <c r="F18" s="73">
        <v>25</v>
      </c>
      <c r="G18" s="76">
        <f t="shared" si="3"/>
        <v>1120</v>
      </c>
    </row>
    <row r="19" spans="2:7" ht="15.75" thickBot="1" x14ac:dyDescent="0.3">
      <c r="B19" s="70" t="s">
        <v>12</v>
      </c>
      <c r="C19" s="67">
        <v>25</v>
      </c>
      <c r="D19" s="79">
        <v>0.15</v>
      </c>
      <c r="E19" s="61">
        <f t="shared" si="2"/>
        <v>28.75</v>
      </c>
      <c r="F19" s="74">
        <v>15</v>
      </c>
      <c r="G19" s="77">
        <f t="shared" si="3"/>
        <v>431.25</v>
      </c>
    </row>
  </sheetData>
  <sheetProtection algorithmName="SHA-512" hashValue="qjIig1ORNLIJ2O87oe4wGPhmUo/jhJXQniwgGlAulanoSQ5z9RNZuSh/+VpNBkLOys0XGP5RkTEDgqyBsFEffw==" saltValue="Fm8BwLdL0FQ9p5+wExxbUQ==" spinCount="100000" sheet="1" objects="1" scenarios="1"/>
  <conditionalFormatting sqref="E3:E9 E13:E19">
    <cfRule type="cellIs" dxfId="7" priority="1" operator="greaterThan">
      <formula>50</formula>
    </cfRule>
  </conditionalFormatting>
  <dataValidations count="2">
    <dataValidation type="decimal" operator="greaterThan" allowBlank="1" showInputMessage="1" showErrorMessage="1" sqref="C3:D9 C13:D19" xr:uid="{00000000-0002-0000-0300-000000000000}">
      <formula1>0</formula1>
    </dataValidation>
    <dataValidation type="whole" operator="greaterThanOrEqual" allowBlank="1" showInputMessage="1" showErrorMessage="1" sqref="F3:F9 F13:F19" xr:uid="{00000000-0002-0000-0300-000001000000}">
      <formula1>0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G29"/>
  <sheetViews>
    <sheetView zoomScale="80" zoomScaleNormal="80" workbookViewId="0">
      <selection activeCell="J26" sqref="J26"/>
    </sheetView>
  </sheetViews>
  <sheetFormatPr baseColWidth="10" defaultRowHeight="15" x14ac:dyDescent="0.25"/>
  <cols>
    <col min="3" max="3" width="10.5703125" bestFit="1" customWidth="1"/>
    <col min="4" max="4" width="39.5703125" bestFit="1" customWidth="1"/>
    <col min="5" max="5" width="11.140625" customWidth="1"/>
    <col min="6" max="6" width="10.140625" bestFit="1" customWidth="1"/>
    <col min="7" max="7" width="16.5703125" bestFit="1" customWidth="1"/>
  </cols>
  <sheetData>
    <row r="1" spans="3:7" ht="15.75" thickBot="1" x14ac:dyDescent="0.3"/>
    <row r="2" spans="3:7" x14ac:dyDescent="0.25">
      <c r="C2" s="362" t="s">
        <v>113</v>
      </c>
      <c r="D2" s="363"/>
      <c r="E2" s="366"/>
      <c r="F2" s="367"/>
      <c r="G2" s="367"/>
    </row>
    <row r="3" spans="3:7" ht="15.75" customHeight="1" thickBot="1" x14ac:dyDescent="0.3">
      <c r="C3" s="364" t="s">
        <v>114</v>
      </c>
      <c r="D3" s="365"/>
      <c r="E3" s="366"/>
      <c r="F3" s="367"/>
      <c r="G3" s="367"/>
    </row>
    <row r="4" spans="3:7" ht="15.75" thickBot="1" x14ac:dyDescent="0.3">
      <c r="C4" s="81"/>
    </row>
    <row r="5" spans="3:7" ht="15.75" thickBot="1" x14ac:dyDescent="0.3">
      <c r="C5" s="82" t="s">
        <v>56</v>
      </c>
      <c r="D5" s="83"/>
    </row>
    <row r="6" spans="3:7" ht="15.75" thickBot="1" x14ac:dyDescent="0.3">
      <c r="C6" s="82" t="s">
        <v>57</v>
      </c>
      <c r="D6" s="84"/>
    </row>
    <row r="7" spans="3:7" ht="15.75" thickBot="1" x14ac:dyDescent="0.3">
      <c r="C7" s="82" t="s">
        <v>58</v>
      </c>
      <c r="D7" s="84"/>
    </row>
    <row r="8" spans="3:7" ht="15.75" thickBot="1" x14ac:dyDescent="0.3">
      <c r="C8" s="82" t="s">
        <v>59</v>
      </c>
      <c r="D8" s="84"/>
    </row>
    <row r="9" spans="3:7" ht="15.75" thickBot="1" x14ac:dyDescent="0.3"/>
    <row r="10" spans="3:7" ht="29.25" thickTop="1" x14ac:dyDescent="0.25">
      <c r="D10" s="85" t="s">
        <v>60</v>
      </c>
      <c r="E10" s="96" t="s">
        <v>119</v>
      </c>
      <c r="F10" s="92" t="s">
        <v>4</v>
      </c>
      <c r="G10" s="97" t="s">
        <v>120</v>
      </c>
    </row>
    <row r="11" spans="3:7" ht="15.75" thickBot="1" x14ac:dyDescent="0.3">
      <c r="D11" s="86" t="s">
        <v>61</v>
      </c>
      <c r="E11" s="93">
        <v>134.4</v>
      </c>
      <c r="F11" s="84">
        <v>1</v>
      </c>
      <c r="G11" s="98">
        <f>+E11*F11</f>
        <v>134.4</v>
      </c>
    </row>
    <row r="12" spans="3:7" ht="15.75" thickBot="1" x14ac:dyDescent="0.3">
      <c r="D12" s="86" t="s">
        <v>62</v>
      </c>
      <c r="E12" s="93">
        <v>83.72</v>
      </c>
      <c r="F12" s="84">
        <v>2</v>
      </c>
      <c r="G12" s="98">
        <f t="shared" ref="G12:G23" si="0">+E12*F12</f>
        <v>167.44</v>
      </c>
    </row>
    <row r="13" spans="3:7" ht="15.75" thickBot="1" x14ac:dyDescent="0.3">
      <c r="D13" s="86" t="s">
        <v>63</v>
      </c>
      <c r="E13" s="93">
        <v>55.04</v>
      </c>
      <c r="F13" s="84">
        <v>1</v>
      </c>
      <c r="G13" s="98">
        <f t="shared" si="0"/>
        <v>55.04</v>
      </c>
    </row>
    <row r="14" spans="3:7" ht="15.75" thickBot="1" x14ac:dyDescent="0.3">
      <c r="D14" s="86" t="s">
        <v>64</v>
      </c>
      <c r="E14" s="93">
        <v>52.48</v>
      </c>
      <c r="F14" s="84">
        <v>6</v>
      </c>
      <c r="G14" s="98">
        <f t="shared" si="0"/>
        <v>314.88</v>
      </c>
    </row>
    <row r="15" spans="3:7" ht="15.75" thickBot="1" x14ac:dyDescent="0.3">
      <c r="D15" s="86" t="s">
        <v>115</v>
      </c>
      <c r="E15" s="93">
        <v>16.079999999999998</v>
      </c>
      <c r="F15" s="84">
        <v>3</v>
      </c>
      <c r="G15" s="98">
        <f t="shared" si="0"/>
        <v>48.239999999999995</v>
      </c>
    </row>
    <row r="16" spans="3:7" ht="15.75" thickBot="1" x14ac:dyDescent="0.3">
      <c r="D16" s="86" t="s">
        <v>66</v>
      </c>
      <c r="E16" s="93">
        <v>68.760000000000005</v>
      </c>
      <c r="F16" s="84">
        <v>1</v>
      </c>
      <c r="G16" s="98">
        <f t="shared" si="0"/>
        <v>68.760000000000005</v>
      </c>
    </row>
    <row r="17" spans="3:7" ht="15.75" thickBot="1" x14ac:dyDescent="0.3">
      <c r="D17" s="86" t="s">
        <v>65</v>
      </c>
      <c r="E17" s="93">
        <v>96.4</v>
      </c>
      <c r="F17" s="84">
        <v>1</v>
      </c>
      <c r="G17" s="98">
        <f t="shared" si="0"/>
        <v>96.4</v>
      </c>
    </row>
    <row r="18" spans="3:7" ht="15.75" thickBot="1" x14ac:dyDescent="0.3">
      <c r="D18" s="86" t="s">
        <v>116</v>
      </c>
      <c r="E18" s="93">
        <v>63.36</v>
      </c>
      <c r="F18" s="84">
        <v>2</v>
      </c>
      <c r="G18" s="98">
        <f t="shared" si="0"/>
        <v>126.72</v>
      </c>
    </row>
    <row r="19" spans="3:7" ht="15.75" thickBot="1" x14ac:dyDescent="0.3">
      <c r="D19" s="86" t="s">
        <v>67</v>
      </c>
      <c r="E19" s="93">
        <v>316</v>
      </c>
      <c r="F19" s="84">
        <v>1</v>
      </c>
      <c r="G19" s="98">
        <f t="shared" si="0"/>
        <v>316</v>
      </c>
    </row>
    <row r="20" spans="3:7" ht="15.75" thickBot="1" x14ac:dyDescent="0.3">
      <c r="C20" s="87" t="s">
        <v>117</v>
      </c>
      <c r="D20" s="86" t="s">
        <v>68</v>
      </c>
      <c r="E20" s="93">
        <v>678</v>
      </c>
      <c r="F20" s="84">
        <v>1</v>
      </c>
      <c r="G20" s="98">
        <f t="shared" si="0"/>
        <v>678</v>
      </c>
    </row>
    <row r="21" spans="3:7" ht="15.75" thickBot="1" x14ac:dyDescent="0.3">
      <c r="D21" s="86" t="s">
        <v>118</v>
      </c>
      <c r="E21" s="93">
        <v>79.599999999999994</v>
      </c>
      <c r="F21" s="84">
        <v>1</v>
      </c>
      <c r="G21" s="98">
        <f t="shared" si="0"/>
        <v>79.599999999999994</v>
      </c>
    </row>
    <row r="22" spans="3:7" ht="15.75" thickBot="1" x14ac:dyDescent="0.3">
      <c r="D22" s="86" t="s">
        <v>69</v>
      </c>
      <c r="E22" s="93">
        <v>67.599999999999994</v>
      </c>
      <c r="F22" s="84">
        <v>2</v>
      </c>
      <c r="G22" s="98">
        <f t="shared" si="0"/>
        <v>135.19999999999999</v>
      </c>
    </row>
    <row r="23" spans="3:7" ht="15.75" thickBot="1" x14ac:dyDescent="0.3">
      <c r="D23" s="88" t="s">
        <v>70</v>
      </c>
      <c r="E23" s="94">
        <v>89.4</v>
      </c>
      <c r="F23" s="95">
        <v>1</v>
      </c>
      <c r="G23" s="99">
        <f t="shared" si="0"/>
        <v>89.4</v>
      </c>
    </row>
    <row r="24" spans="3:7" ht="16.5" thickTop="1" thickBot="1" x14ac:dyDescent="0.3">
      <c r="D24" s="89"/>
      <c r="E24" s="358" t="s">
        <v>71</v>
      </c>
      <c r="F24" s="359"/>
      <c r="G24" s="340">
        <f>SUM(G11:G23)</f>
        <v>2310.08</v>
      </c>
    </row>
    <row r="25" spans="3:7" ht="15.75" thickBot="1" x14ac:dyDescent="0.3">
      <c r="D25" s="90"/>
      <c r="E25" s="360" t="s">
        <v>72</v>
      </c>
      <c r="F25" s="361"/>
      <c r="G25" s="339">
        <v>0.15</v>
      </c>
    </row>
    <row r="26" spans="3:7" ht="15.75" thickBot="1" x14ac:dyDescent="0.3">
      <c r="D26" s="90"/>
      <c r="E26" s="360" t="s">
        <v>341</v>
      </c>
      <c r="F26" s="361"/>
      <c r="G26" s="341">
        <f>+G24-G25*G24</f>
        <v>1963.568</v>
      </c>
    </row>
    <row r="27" spans="3:7" ht="15.75" thickBot="1" x14ac:dyDescent="0.3">
      <c r="D27" s="90"/>
      <c r="E27" s="360" t="s">
        <v>340</v>
      </c>
      <c r="F27" s="361"/>
      <c r="G27" s="342">
        <f>+G26*21%</f>
        <v>412.34927999999996</v>
      </c>
    </row>
    <row r="28" spans="3:7" ht="15.75" thickBot="1" x14ac:dyDescent="0.3">
      <c r="D28" s="91"/>
      <c r="E28" s="356" t="s">
        <v>73</v>
      </c>
      <c r="F28" s="357"/>
      <c r="G28" s="343">
        <f>+G26+G27</f>
        <v>2375.9172800000001</v>
      </c>
    </row>
    <row r="29" spans="3:7" ht="15.75" thickTop="1" x14ac:dyDescent="0.25"/>
  </sheetData>
  <sheetProtection algorithmName="SHA-512" hashValue="yy3QExcyYddgSHr5Ipz/iBuTCFUglVP3dhbr/h2+3vOVoBxfhP4dmv1GNBQmVtW/6kxDZQ9B0sI8XcXcz8VT2g==" saltValue="nk1ef1b+xE/1/s1SQmVlsg==" spinCount="100000" sheet="1" objects="1" scenarios="1"/>
  <mergeCells count="10">
    <mergeCell ref="C2:D2"/>
    <mergeCell ref="C3:D3"/>
    <mergeCell ref="E2:E3"/>
    <mergeCell ref="F2:F3"/>
    <mergeCell ref="G2:G3"/>
    <mergeCell ref="E28:F28"/>
    <mergeCell ref="E24:F24"/>
    <mergeCell ref="E25:F25"/>
    <mergeCell ref="E26:F26"/>
    <mergeCell ref="E27:F2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workbookViewId="0">
      <selection activeCell="D11" sqref="D11"/>
    </sheetView>
  </sheetViews>
  <sheetFormatPr baseColWidth="10" defaultRowHeight="15" x14ac:dyDescent="0.25"/>
  <cols>
    <col min="1" max="1" width="17.42578125" bestFit="1" customWidth="1"/>
    <col min="2" max="6" width="12.140625" bestFit="1" customWidth="1"/>
    <col min="7" max="7" width="14.42578125" customWidth="1"/>
  </cols>
  <sheetData>
    <row r="1" spans="1:7" ht="15.75" thickBot="1" x14ac:dyDescent="0.3">
      <c r="A1" s="3"/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</row>
    <row r="2" spans="1:7" ht="15.75" thickBot="1" x14ac:dyDescent="0.3">
      <c r="A2" s="2" t="s">
        <v>5</v>
      </c>
      <c r="B2" s="19">
        <v>3400</v>
      </c>
      <c r="C2" s="19">
        <v>3800</v>
      </c>
      <c r="D2" s="19">
        <v>4200</v>
      </c>
      <c r="E2" s="19">
        <v>4700</v>
      </c>
      <c r="F2" s="19">
        <v>5000</v>
      </c>
      <c r="G2" s="18">
        <f>SUM(B2:F2)</f>
        <v>21100</v>
      </c>
    </row>
    <row r="3" spans="1:7" ht="15.75" thickBot="1" x14ac:dyDescent="0.3">
      <c r="A3" s="2" t="s">
        <v>19</v>
      </c>
      <c r="B3" s="18">
        <f>+B2*$B$8</f>
        <v>170</v>
      </c>
      <c r="C3" s="18">
        <f t="shared" ref="C3:F3" si="0">+C2*$B$8</f>
        <v>190</v>
      </c>
      <c r="D3" s="18">
        <f t="shared" si="0"/>
        <v>210</v>
      </c>
      <c r="E3" s="18">
        <f t="shared" si="0"/>
        <v>235</v>
      </c>
      <c r="F3" s="18">
        <f t="shared" si="0"/>
        <v>250</v>
      </c>
      <c r="G3" s="18">
        <f t="shared" ref="G3:G6" si="1">SUM(B3:F3)</f>
        <v>1055</v>
      </c>
    </row>
    <row r="4" spans="1:7" ht="15.75" thickBot="1" x14ac:dyDescent="0.3">
      <c r="A4" s="2" t="s">
        <v>20</v>
      </c>
      <c r="B4" s="18">
        <f>+B2*$B$9</f>
        <v>510</v>
      </c>
      <c r="C4" s="18">
        <f t="shared" ref="C4:F4" si="2">+C2*$B$9</f>
        <v>570</v>
      </c>
      <c r="D4" s="18">
        <f t="shared" si="2"/>
        <v>630</v>
      </c>
      <c r="E4" s="18">
        <f t="shared" si="2"/>
        <v>705</v>
      </c>
      <c r="F4" s="18">
        <f t="shared" si="2"/>
        <v>750</v>
      </c>
      <c r="G4" s="18">
        <f t="shared" si="1"/>
        <v>3165</v>
      </c>
    </row>
    <row r="5" spans="1:7" ht="15.75" thickBot="1" x14ac:dyDescent="0.3">
      <c r="A5" s="2" t="s">
        <v>21</v>
      </c>
      <c r="B5" s="18">
        <f>+$B$10</f>
        <v>450</v>
      </c>
      <c r="C5" s="18">
        <f t="shared" ref="C5:F5" si="3">+$B$10</f>
        <v>450</v>
      </c>
      <c r="D5" s="18">
        <f t="shared" si="3"/>
        <v>450</v>
      </c>
      <c r="E5" s="18">
        <f t="shared" si="3"/>
        <v>450</v>
      </c>
      <c r="F5" s="18">
        <f t="shared" si="3"/>
        <v>450</v>
      </c>
      <c r="G5" s="18">
        <f t="shared" si="1"/>
        <v>2250</v>
      </c>
    </row>
    <row r="6" spans="1:7" ht="15.75" thickBot="1" x14ac:dyDescent="0.3">
      <c r="A6" s="2" t="s">
        <v>22</v>
      </c>
      <c r="B6" s="18">
        <f>+B2-B3-B4-B5</f>
        <v>2270</v>
      </c>
      <c r="C6" s="18">
        <f t="shared" ref="C6:F6" si="4">+C2-C3-C4-C5</f>
        <v>2590</v>
      </c>
      <c r="D6" s="18">
        <f t="shared" si="4"/>
        <v>2910</v>
      </c>
      <c r="E6" s="18">
        <f t="shared" si="4"/>
        <v>3310</v>
      </c>
      <c r="F6" s="18">
        <f t="shared" si="4"/>
        <v>3550</v>
      </c>
      <c r="G6" s="18">
        <f t="shared" si="1"/>
        <v>14630</v>
      </c>
    </row>
    <row r="7" spans="1:7" ht="15.75" thickBot="1" x14ac:dyDescent="0.3">
      <c r="A7" s="4"/>
      <c r="B7" s="4"/>
      <c r="C7" s="5"/>
      <c r="D7" s="5"/>
      <c r="E7" s="5"/>
      <c r="F7" s="5"/>
      <c r="G7" s="5"/>
    </row>
    <row r="8" spans="1:7" ht="15.75" thickBot="1" x14ac:dyDescent="0.3">
      <c r="A8" s="2" t="s">
        <v>23</v>
      </c>
      <c r="B8" s="6">
        <v>0.05</v>
      </c>
      <c r="C8" s="5"/>
      <c r="D8" s="5"/>
      <c r="E8" s="5"/>
      <c r="F8" s="5"/>
      <c r="G8" s="5"/>
    </row>
    <row r="9" spans="1:7" ht="15.75" thickBot="1" x14ac:dyDescent="0.3">
      <c r="A9" s="2" t="s">
        <v>24</v>
      </c>
      <c r="B9" s="6">
        <v>0.15</v>
      </c>
      <c r="C9" s="5"/>
      <c r="D9" s="5"/>
      <c r="E9" s="5"/>
      <c r="F9" s="5"/>
      <c r="G9" s="5"/>
    </row>
    <row r="10" spans="1:7" ht="15.75" thickBot="1" x14ac:dyDescent="0.3">
      <c r="A10" s="2" t="s">
        <v>21</v>
      </c>
      <c r="B10" s="20">
        <v>450</v>
      </c>
      <c r="C10" s="5"/>
      <c r="D10" s="5"/>
      <c r="E10" s="5"/>
      <c r="F10" s="5"/>
      <c r="G10" s="5"/>
    </row>
  </sheetData>
  <sheetProtection algorithmName="SHA-512" hashValue="r+6LTKnD2Axic0QLwEeomFMbc8sNTHb8MO6ZMIzImF+ExS2P6B1BuG9djjIAiJHLD3T+Xwr/B4/P5ivnpW/UVg==" saltValue="lr1MfLGIPu1ms5oO0iI6/Q==" spinCount="100000" sheet="1" objects="1" scenarios="1"/>
  <conditionalFormatting sqref="B3:F3">
    <cfRule type="cellIs" dxfId="6" priority="3" operator="greaterThan">
      <formula>200</formula>
    </cfRule>
  </conditionalFormatting>
  <conditionalFormatting sqref="B4:F4">
    <cfRule type="cellIs" dxfId="5" priority="2" operator="greaterThan">
      <formula>700</formula>
    </cfRule>
  </conditionalFormatting>
  <conditionalFormatting sqref="B6:F6">
    <cfRule type="cellIs" dxfId="4" priority="1" operator="greaterThan">
      <formula>3000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4"/>
  <sheetViews>
    <sheetView workbookViewId="0">
      <selection activeCell="F10" sqref="F10"/>
    </sheetView>
  </sheetViews>
  <sheetFormatPr baseColWidth="10" defaultRowHeight="15" x14ac:dyDescent="0.25"/>
  <cols>
    <col min="2" max="2" width="22.42578125" bestFit="1" customWidth="1"/>
    <col min="3" max="3" width="8.7109375" bestFit="1" customWidth="1"/>
    <col min="4" max="4" width="6.28515625" bestFit="1" customWidth="1"/>
    <col min="5" max="5" width="13.28515625" bestFit="1" customWidth="1"/>
    <col min="6" max="6" width="14.42578125" bestFit="1" customWidth="1"/>
    <col min="7" max="7" width="13.42578125" bestFit="1" customWidth="1"/>
    <col min="8" max="8" width="13.28515625" bestFit="1" customWidth="1"/>
    <col min="9" max="9" width="12.140625" bestFit="1" customWidth="1"/>
  </cols>
  <sheetData>
    <row r="1" spans="2:9" ht="15.75" thickBot="1" x14ac:dyDescent="0.3"/>
    <row r="2" spans="2:9" ht="24" thickTop="1" thickBot="1" x14ac:dyDescent="0.3">
      <c r="B2" s="104"/>
      <c r="C2" s="105" t="s">
        <v>133</v>
      </c>
      <c r="D2" s="106" t="s">
        <v>121</v>
      </c>
      <c r="E2" s="106" t="s">
        <v>122</v>
      </c>
      <c r="F2" s="106" t="s">
        <v>123</v>
      </c>
      <c r="G2" s="106" t="s">
        <v>124</v>
      </c>
      <c r="H2" s="106" t="s">
        <v>125</v>
      </c>
      <c r="I2" s="107" t="s">
        <v>126</v>
      </c>
    </row>
    <row r="3" spans="2:9" x14ac:dyDescent="0.25">
      <c r="B3" s="115" t="s">
        <v>127</v>
      </c>
      <c r="C3" s="109">
        <v>18</v>
      </c>
      <c r="D3" s="109">
        <v>80</v>
      </c>
      <c r="E3" s="120">
        <f>+C3*D3*$C$9</f>
        <v>7200</v>
      </c>
      <c r="F3" s="120">
        <f>+E3*$C$10</f>
        <v>1440</v>
      </c>
      <c r="G3" s="120">
        <f>+E3*$C$11</f>
        <v>720</v>
      </c>
      <c r="H3" s="120">
        <f>+E3*$C$13</f>
        <v>3240</v>
      </c>
      <c r="I3" s="121">
        <f>+E3*$C$12</f>
        <v>1800</v>
      </c>
    </row>
    <row r="4" spans="2:9" x14ac:dyDescent="0.25">
      <c r="B4" s="116" t="s">
        <v>128</v>
      </c>
      <c r="C4" s="110">
        <v>15</v>
      </c>
      <c r="D4" s="110">
        <v>100</v>
      </c>
      <c r="E4" s="122">
        <f t="shared" ref="E4:E6" si="0">+C4*D4*$C$9</f>
        <v>7500</v>
      </c>
      <c r="F4" s="122">
        <f t="shared" ref="F4:F6" si="1">+E4*$C$10</f>
        <v>1500</v>
      </c>
      <c r="G4" s="122">
        <f t="shared" ref="G4:G6" si="2">+E4*$C$11</f>
        <v>750</v>
      </c>
      <c r="H4" s="122">
        <f t="shared" ref="H4:H6" si="3">+E4*$C$13</f>
        <v>3375</v>
      </c>
      <c r="I4" s="123">
        <f t="shared" ref="I4:I6" si="4">+E4*$C$12</f>
        <v>1875</v>
      </c>
    </row>
    <row r="5" spans="2:9" x14ac:dyDescent="0.25">
      <c r="B5" s="116" t="s">
        <v>129</v>
      </c>
      <c r="C5" s="110">
        <v>13</v>
      </c>
      <c r="D5" s="110">
        <v>300</v>
      </c>
      <c r="E5" s="122">
        <f t="shared" si="0"/>
        <v>19500</v>
      </c>
      <c r="F5" s="122">
        <f t="shared" si="1"/>
        <v>3900</v>
      </c>
      <c r="G5" s="122">
        <f t="shared" si="2"/>
        <v>1950</v>
      </c>
      <c r="H5" s="122">
        <f t="shared" si="3"/>
        <v>8775</v>
      </c>
      <c r="I5" s="123">
        <f t="shared" si="4"/>
        <v>4875</v>
      </c>
    </row>
    <row r="6" spans="2:9" ht="15.75" thickBot="1" x14ac:dyDescent="0.3">
      <c r="B6" s="117" t="s">
        <v>130</v>
      </c>
      <c r="C6" s="111">
        <v>15</v>
      </c>
      <c r="D6" s="111">
        <v>50</v>
      </c>
      <c r="E6" s="124">
        <f t="shared" si="0"/>
        <v>3750</v>
      </c>
      <c r="F6" s="124">
        <f t="shared" si="1"/>
        <v>750</v>
      </c>
      <c r="G6" s="124">
        <f t="shared" si="2"/>
        <v>375</v>
      </c>
      <c r="H6" s="124">
        <f t="shared" si="3"/>
        <v>1687.5</v>
      </c>
      <c r="I6" s="125">
        <f t="shared" si="4"/>
        <v>937.5</v>
      </c>
    </row>
    <row r="7" spans="2:9" ht="16.5" thickTop="1" thickBot="1" x14ac:dyDescent="0.3">
      <c r="B7" s="119" t="s">
        <v>131</v>
      </c>
      <c r="C7" s="108">
        <f>SUM(C3:C6)</f>
        <v>61</v>
      </c>
      <c r="D7" s="108">
        <f t="shared" ref="D7:I7" si="5">SUM(D3:D6)</f>
        <v>530</v>
      </c>
      <c r="E7" s="126">
        <f t="shared" si="5"/>
        <v>37950</v>
      </c>
      <c r="F7" s="126">
        <f t="shared" si="5"/>
        <v>7590</v>
      </c>
      <c r="G7" s="126">
        <f t="shared" si="5"/>
        <v>3795</v>
      </c>
      <c r="H7" s="126">
        <f t="shared" si="5"/>
        <v>17077.5</v>
      </c>
      <c r="I7" s="127">
        <f t="shared" si="5"/>
        <v>9487.5</v>
      </c>
    </row>
    <row r="8" spans="2:9" ht="16.5" thickTop="1" thickBot="1" x14ac:dyDescent="0.3">
      <c r="B8" s="101"/>
      <c r="C8" s="102"/>
      <c r="D8" s="103"/>
      <c r="E8" s="100"/>
      <c r="F8" s="100"/>
      <c r="G8" s="100"/>
      <c r="H8" s="100"/>
      <c r="I8" s="100"/>
    </row>
    <row r="9" spans="2:9" ht="15.75" thickTop="1" x14ac:dyDescent="0.25">
      <c r="B9" s="118" t="s">
        <v>132</v>
      </c>
      <c r="C9" s="112">
        <v>5</v>
      </c>
      <c r="D9" s="103"/>
      <c r="E9" s="100"/>
      <c r="F9" s="100"/>
      <c r="G9" s="100"/>
      <c r="H9" s="100"/>
      <c r="I9" s="100"/>
    </row>
    <row r="10" spans="2:9" x14ac:dyDescent="0.25">
      <c r="B10" s="116" t="s">
        <v>123</v>
      </c>
      <c r="C10" s="113">
        <v>0.2</v>
      </c>
      <c r="D10" s="103"/>
      <c r="E10" s="100"/>
      <c r="F10" s="100"/>
      <c r="G10" s="100"/>
      <c r="H10" s="100"/>
      <c r="I10" s="100"/>
    </row>
    <row r="11" spans="2:9" x14ac:dyDescent="0.25">
      <c r="B11" s="116" t="s">
        <v>124</v>
      </c>
      <c r="C11" s="113">
        <v>0.1</v>
      </c>
      <c r="D11" s="103"/>
      <c r="E11" s="100"/>
      <c r="F11" s="100"/>
      <c r="G11" s="100"/>
      <c r="H11" s="100"/>
      <c r="I11" s="100"/>
    </row>
    <row r="12" spans="2:9" x14ac:dyDescent="0.25">
      <c r="B12" s="116" t="s">
        <v>126</v>
      </c>
      <c r="C12" s="113">
        <v>0.25</v>
      </c>
      <c r="D12" s="103"/>
      <c r="E12" s="100"/>
      <c r="F12" s="100"/>
      <c r="G12" s="100"/>
      <c r="H12" s="100"/>
      <c r="I12" s="100"/>
    </row>
    <row r="13" spans="2:9" ht="15.75" thickBot="1" x14ac:dyDescent="0.3">
      <c r="B13" s="117" t="s">
        <v>125</v>
      </c>
      <c r="C13" s="114">
        <v>0.45</v>
      </c>
      <c r="D13" s="103"/>
      <c r="E13" s="100"/>
      <c r="F13" s="100"/>
      <c r="G13" s="100"/>
      <c r="H13" s="100"/>
      <c r="I13" s="100"/>
    </row>
    <row r="14" spans="2:9" ht="15.75" thickTop="1" x14ac:dyDescent="0.25"/>
  </sheetData>
  <sheetProtection algorithmName="SHA-512" hashValue="7M+rE6bTni0wuDxMo4t7/yCIlb5vbmesnhvXGQh9NJiX9WaQyLTkrDj08PDa+uiAVTC07eWL4B0SE1tTSKn7kw==" saltValue="VIR/TstI59sPNNFqvQc/+A==" spinCount="100000" sheet="1" objects="1" scenarios="1"/>
  <conditionalFormatting sqref="F3:I6">
    <cfRule type="cellIs" dxfId="3" priority="1" operator="greaterThan">
      <formula>1000</formula>
    </cfRule>
  </conditionalFormatting>
  <dataValidations count="1">
    <dataValidation type="whole" operator="greaterThan" allowBlank="1" showInputMessage="1" showErrorMessage="1" sqref="C3:D6" xr:uid="{00000000-0002-0000-0600-000000000000}">
      <formula1>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"/>
  <sheetViews>
    <sheetView workbookViewId="0">
      <selection activeCell="E9" sqref="E9"/>
    </sheetView>
  </sheetViews>
  <sheetFormatPr baseColWidth="10" defaultRowHeight="15" x14ac:dyDescent="0.25"/>
  <cols>
    <col min="1" max="1" width="15.140625" bestFit="1" customWidth="1"/>
  </cols>
  <sheetData>
    <row r="1" spans="1:15" ht="15.75" thickBot="1" x14ac:dyDescent="0.3">
      <c r="A1" s="7"/>
      <c r="B1" s="368" t="s">
        <v>25</v>
      </c>
      <c r="C1" s="370"/>
      <c r="D1" s="368" t="s">
        <v>50</v>
      </c>
      <c r="E1" s="370"/>
      <c r="F1" s="368" t="s">
        <v>51</v>
      </c>
      <c r="G1" s="370"/>
      <c r="H1" s="368" t="s">
        <v>52</v>
      </c>
      <c r="I1" s="370"/>
      <c r="J1" s="368" t="s">
        <v>53</v>
      </c>
      <c r="K1" s="370"/>
      <c r="L1" s="371" t="s">
        <v>26</v>
      </c>
      <c r="M1" s="370"/>
      <c r="N1" s="372" t="s">
        <v>27</v>
      </c>
      <c r="O1" s="373"/>
    </row>
    <row r="2" spans="1:15" ht="15.75" thickBot="1" x14ac:dyDescent="0.3">
      <c r="A2" s="8"/>
      <c r="B2" s="8" t="s">
        <v>28</v>
      </c>
      <c r="C2" s="8" t="s">
        <v>29</v>
      </c>
      <c r="D2" s="8" t="s">
        <v>28</v>
      </c>
      <c r="E2" s="8" t="s">
        <v>29</v>
      </c>
      <c r="F2" s="8" t="s">
        <v>28</v>
      </c>
      <c r="G2" s="8" t="s">
        <v>29</v>
      </c>
      <c r="H2" s="8" t="s">
        <v>28</v>
      </c>
      <c r="I2" s="8" t="s">
        <v>29</v>
      </c>
      <c r="J2" s="8" t="s">
        <v>28</v>
      </c>
      <c r="K2" s="8" t="s">
        <v>29</v>
      </c>
      <c r="L2" s="8" t="s">
        <v>28</v>
      </c>
      <c r="M2" s="8" t="s">
        <v>29</v>
      </c>
      <c r="N2" s="9" t="s">
        <v>28</v>
      </c>
      <c r="O2" s="9" t="s">
        <v>29</v>
      </c>
    </row>
    <row r="3" spans="1:15" ht="15.75" thickBot="1" x14ac:dyDescent="0.3">
      <c r="A3" s="10" t="s">
        <v>30</v>
      </c>
      <c r="B3" s="8">
        <v>150</v>
      </c>
      <c r="C3" s="128">
        <f>+B3*$B$9</f>
        <v>2250</v>
      </c>
      <c r="D3" s="8">
        <v>250</v>
      </c>
      <c r="E3" s="128">
        <f>+D3*$B$9</f>
        <v>3750</v>
      </c>
      <c r="F3" s="8">
        <v>80</v>
      </c>
      <c r="G3" s="128">
        <f>+F3*$B$9</f>
        <v>1200</v>
      </c>
      <c r="H3" s="8">
        <v>50</v>
      </c>
      <c r="I3" s="128">
        <f>+H3*$B$9</f>
        <v>750</v>
      </c>
      <c r="J3" s="8">
        <v>200</v>
      </c>
      <c r="K3" s="128">
        <f>+J3*$B$9</f>
        <v>3000</v>
      </c>
      <c r="L3" s="8">
        <v>500</v>
      </c>
      <c r="M3" s="128">
        <f>+L3*$B$9</f>
        <v>7500</v>
      </c>
      <c r="N3" s="8">
        <f>+B3+D3+F3+H3+J3+L3</f>
        <v>1230</v>
      </c>
      <c r="O3" s="128">
        <f>+C3+E3+G3+I3+K3+M3</f>
        <v>18450</v>
      </c>
    </row>
    <row r="4" spans="1:15" ht="15.75" thickBot="1" x14ac:dyDescent="0.3">
      <c r="A4" s="10" t="s">
        <v>31</v>
      </c>
      <c r="B4" s="8">
        <v>100</v>
      </c>
      <c r="C4" s="128">
        <f>+B4*($B$9-$B$8*$B$9)</f>
        <v>1275</v>
      </c>
      <c r="D4" s="8">
        <v>150</v>
      </c>
      <c r="E4" s="128">
        <f>+D4*($B$9-$B$8*$B$9)</f>
        <v>1912.5</v>
      </c>
      <c r="F4" s="8">
        <v>125</v>
      </c>
      <c r="G4" s="128">
        <f>+F4*($B$9-$B$8*$B$9)</f>
        <v>1593.75</v>
      </c>
      <c r="H4" s="8">
        <v>50</v>
      </c>
      <c r="I4" s="128">
        <f>+H4*($B$9-$B$8*$B$9)</f>
        <v>637.5</v>
      </c>
      <c r="J4" s="8">
        <v>225</v>
      </c>
      <c r="K4" s="128">
        <f>+J4*($B$9-$B$8*$B$9)</f>
        <v>2868.75</v>
      </c>
      <c r="L4" s="8">
        <v>100</v>
      </c>
      <c r="M4" s="128">
        <f>+L4*($B$9-$B$8*$B$9)</f>
        <v>1275</v>
      </c>
      <c r="N4" s="8">
        <f>+B4+D4+F4+H4+J4+L4</f>
        <v>750</v>
      </c>
      <c r="O4" s="128">
        <f>+C4+E4+G4+I4+K4+M4</f>
        <v>9562.5</v>
      </c>
    </row>
    <row r="5" spans="1:15" ht="15.75" thickBot="1" x14ac:dyDescent="0.3">
      <c r="A5" s="11" t="s">
        <v>32</v>
      </c>
      <c r="B5" s="8">
        <f>SUM(B3:B4)</f>
        <v>250</v>
      </c>
      <c r="C5" s="128">
        <f t="shared" ref="C5:O5" si="0">SUM(C3:C4)</f>
        <v>3525</v>
      </c>
      <c r="D5" s="8">
        <f t="shared" si="0"/>
        <v>400</v>
      </c>
      <c r="E5" s="128">
        <f t="shared" si="0"/>
        <v>5662.5</v>
      </c>
      <c r="F5" s="8">
        <f t="shared" si="0"/>
        <v>205</v>
      </c>
      <c r="G5" s="128">
        <f t="shared" si="0"/>
        <v>2793.75</v>
      </c>
      <c r="H5" s="8">
        <f t="shared" si="0"/>
        <v>100</v>
      </c>
      <c r="I5" s="128">
        <f t="shared" si="0"/>
        <v>1387.5</v>
      </c>
      <c r="J5" s="8">
        <f t="shared" si="0"/>
        <v>425</v>
      </c>
      <c r="K5" s="128">
        <f t="shared" si="0"/>
        <v>5868.75</v>
      </c>
      <c r="L5" s="8">
        <f t="shared" si="0"/>
        <v>600</v>
      </c>
      <c r="M5" s="128">
        <f t="shared" si="0"/>
        <v>8775</v>
      </c>
      <c r="N5" s="8">
        <f t="shared" si="0"/>
        <v>1980</v>
      </c>
      <c r="O5" s="128">
        <f t="shared" si="0"/>
        <v>28012.5</v>
      </c>
    </row>
    <row r="6" spans="1:15" ht="15.75" thickBot="1" x14ac:dyDescent="0.3">
      <c r="A6" s="10" t="s">
        <v>33</v>
      </c>
      <c r="B6" s="368" t="b">
        <f>+C5&gt;$B$10</f>
        <v>1</v>
      </c>
      <c r="C6" s="369"/>
      <c r="D6" s="368" t="b">
        <f t="shared" ref="D6" si="1">+E5&gt;$B$10</f>
        <v>1</v>
      </c>
      <c r="E6" s="369"/>
      <c r="F6" s="368" t="b">
        <f t="shared" ref="F6" si="2">+G5&gt;$B$10</f>
        <v>1</v>
      </c>
      <c r="G6" s="369"/>
      <c r="H6" s="368" t="b">
        <f t="shared" ref="H6" si="3">+I5&gt;$B$10</f>
        <v>0</v>
      </c>
      <c r="I6" s="369"/>
      <c r="J6" s="368" t="b">
        <f t="shared" ref="J6" si="4">+K5&gt;$B$10</f>
        <v>1</v>
      </c>
      <c r="K6" s="369"/>
      <c r="L6" s="368" t="b">
        <f t="shared" ref="L6" si="5">+M5&gt;$B$10</f>
        <v>1</v>
      </c>
      <c r="M6" s="369"/>
      <c r="N6" s="368" t="b">
        <f t="shared" ref="N6" si="6">+O5&gt;$B$10</f>
        <v>1</v>
      </c>
      <c r="O6" s="369"/>
    </row>
    <row r="7" spans="1:15" ht="15.75" thickBot="1" x14ac:dyDescent="0.3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.75" thickBot="1" x14ac:dyDescent="0.3">
      <c r="A8" s="10" t="s">
        <v>34</v>
      </c>
      <c r="B8" s="14">
        <v>0.15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.75" thickBot="1" x14ac:dyDescent="0.3">
      <c r="A9" s="10" t="s">
        <v>35</v>
      </c>
      <c r="B9" s="16">
        <v>15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thickBot="1" x14ac:dyDescent="0.3">
      <c r="A10" s="10" t="s">
        <v>36</v>
      </c>
      <c r="B10" s="16">
        <v>1500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</sheetData>
  <sheetProtection algorithmName="SHA-512" hashValue="ja0SOGX8k0j6hDTWVpbLyBLI109Pjn0O+7EttlGcj70rz6X1+nkOr3gmGBPlmXUmhIuqkle0mQh+LOfJTqze8Q==" saltValue="E2HjElPSWb94TQjbi6gAAA==" spinCount="100000" sheet="1" objects="1" scenarios="1"/>
  <protectedRanges>
    <protectedRange sqref="B3:B4 D3:D4 F3:F4 H3:H4 J3:J4 L3:L4 B8:B9" name="Rango1"/>
  </protectedRanges>
  <mergeCells count="14">
    <mergeCell ref="B1:C1"/>
    <mergeCell ref="J1:K1"/>
    <mergeCell ref="L1:M1"/>
    <mergeCell ref="N1:O1"/>
    <mergeCell ref="D1:E1"/>
    <mergeCell ref="F1:G1"/>
    <mergeCell ref="H1:I1"/>
    <mergeCell ref="L6:M6"/>
    <mergeCell ref="N6:O6"/>
    <mergeCell ref="B6:C6"/>
    <mergeCell ref="D6:E6"/>
    <mergeCell ref="F6:G6"/>
    <mergeCell ref="H6:I6"/>
    <mergeCell ref="J6:K6"/>
  </mergeCells>
  <conditionalFormatting sqref="C3:C4 E3:E4 G3:G4 I3:I4 K3:K4 M3:M4">
    <cfRule type="cellIs" dxfId="2" priority="1" operator="greaterThan">
      <formula>2000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workbookViewId="0">
      <selection activeCell="L2" sqref="L2"/>
    </sheetView>
  </sheetViews>
  <sheetFormatPr baseColWidth="10" defaultRowHeight="15" x14ac:dyDescent="0.25"/>
  <cols>
    <col min="2" max="2" width="23.140625" bestFit="1" customWidth="1"/>
    <col min="3" max="10" width="10.85546875" customWidth="1"/>
  </cols>
  <sheetData>
    <row r="1" spans="2:10" ht="15.75" thickBot="1" x14ac:dyDescent="0.3"/>
    <row r="2" spans="2:10" ht="16.5" thickTop="1" thickBot="1" x14ac:dyDescent="0.3">
      <c r="B2" s="21"/>
      <c r="C2" s="129" t="s">
        <v>134</v>
      </c>
      <c r="D2" s="130" t="s">
        <v>135</v>
      </c>
      <c r="E2" s="130" t="s">
        <v>136</v>
      </c>
      <c r="F2" s="130" t="s">
        <v>137</v>
      </c>
      <c r="G2" s="131" t="s">
        <v>138</v>
      </c>
      <c r="H2" s="144" t="s">
        <v>55</v>
      </c>
      <c r="I2" s="145" t="s">
        <v>139</v>
      </c>
      <c r="J2" s="149" t="s">
        <v>140</v>
      </c>
    </row>
    <row r="3" spans="2:10" ht="15.75" thickTop="1" x14ac:dyDescent="0.25">
      <c r="B3" s="132" t="s">
        <v>87</v>
      </c>
      <c r="C3" s="133">
        <v>8.75</v>
      </c>
      <c r="D3" s="134">
        <v>7.5</v>
      </c>
      <c r="E3" s="134">
        <v>4.5</v>
      </c>
      <c r="F3" s="134">
        <v>9</v>
      </c>
      <c r="G3" s="135">
        <v>6</v>
      </c>
      <c r="H3" s="153">
        <f>AVERAGE(C3:G3)</f>
        <v>7.15</v>
      </c>
      <c r="I3" s="155" t="str">
        <f>+IF(H3&gt;5,"si","no")</f>
        <v>si</v>
      </c>
      <c r="J3" s="156" t="str">
        <f>+IF(H3&gt;$H$13,"si","no")</f>
        <v>si</v>
      </c>
    </row>
    <row r="4" spans="2:10" x14ac:dyDescent="0.25">
      <c r="B4" s="136" t="s">
        <v>88</v>
      </c>
      <c r="C4" s="137">
        <v>9</v>
      </c>
      <c r="D4" s="138">
        <v>8.5</v>
      </c>
      <c r="E4" s="138">
        <v>8</v>
      </c>
      <c r="F4" s="138">
        <v>9</v>
      </c>
      <c r="G4" s="139">
        <v>9.5</v>
      </c>
      <c r="H4" s="137">
        <f t="shared" ref="H4:H12" si="0">AVERAGE(C4:G4)</f>
        <v>8.8000000000000007</v>
      </c>
      <c r="I4" s="138" t="str">
        <f t="shared" ref="I4:I12" si="1">+IF(H4&gt;5,"si","no")</f>
        <v>si</v>
      </c>
      <c r="J4" s="139" t="str">
        <f t="shared" ref="J4:J12" si="2">+IF(H4&gt;$H$13,"si","no")</f>
        <v>si</v>
      </c>
    </row>
    <row r="5" spans="2:10" x14ac:dyDescent="0.25">
      <c r="B5" s="136" t="s">
        <v>89</v>
      </c>
      <c r="C5" s="137">
        <v>6.5</v>
      </c>
      <c r="D5" s="138">
        <v>4</v>
      </c>
      <c r="E5" s="138">
        <v>3.5</v>
      </c>
      <c r="F5" s="138">
        <v>4</v>
      </c>
      <c r="G5" s="139">
        <v>6.5</v>
      </c>
      <c r="H5" s="137">
        <f t="shared" si="0"/>
        <v>4.9000000000000004</v>
      </c>
      <c r="I5" s="138" t="str">
        <f t="shared" si="1"/>
        <v>no</v>
      </c>
      <c r="J5" s="139" t="str">
        <f t="shared" si="2"/>
        <v>no</v>
      </c>
    </row>
    <row r="6" spans="2:10" x14ac:dyDescent="0.25">
      <c r="B6" s="136" t="s">
        <v>90</v>
      </c>
      <c r="C6" s="137">
        <v>6</v>
      </c>
      <c r="D6" s="138">
        <v>7</v>
      </c>
      <c r="E6" s="138">
        <v>7.5</v>
      </c>
      <c r="F6" s="138">
        <v>6.5</v>
      </c>
      <c r="G6" s="139">
        <v>5.5</v>
      </c>
      <c r="H6" s="137">
        <f t="shared" si="0"/>
        <v>6.5</v>
      </c>
      <c r="I6" s="138" t="str">
        <f t="shared" si="1"/>
        <v>si</v>
      </c>
      <c r="J6" s="139" t="str">
        <f t="shared" si="2"/>
        <v>si</v>
      </c>
    </row>
    <row r="7" spans="2:10" x14ac:dyDescent="0.25">
      <c r="B7" s="136" t="s">
        <v>91</v>
      </c>
      <c r="C7" s="137">
        <v>7</v>
      </c>
      <c r="D7" s="138">
        <v>8.5</v>
      </c>
      <c r="E7" s="138">
        <v>7</v>
      </c>
      <c r="F7" s="138">
        <v>4</v>
      </c>
      <c r="G7" s="139">
        <v>9</v>
      </c>
      <c r="H7" s="137">
        <f t="shared" si="0"/>
        <v>7.1</v>
      </c>
      <c r="I7" s="138" t="str">
        <f t="shared" si="1"/>
        <v>si</v>
      </c>
      <c r="J7" s="139" t="str">
        <f t="shared" si="2"/>
        <v>si</v>
      </c>
    </row>
    <row r="8" spans="2:10" x14ac:dyDescent="0.25">
      <c r="B8" s="136" t="s">
        <v>92</v>
      </c>
      <c r="C8" s="137">
        <v>7</v>
      </c>
      <c r="D8" s="138">
        <v>5</v>
      </c>
      <c r="E8" s="138">
        <v>4.5</v>
      </c>
      <c r="F8" s="138">
        <v>6</v>
      </c>
      <c r="G8" s="139">
        <v>5.5</v>
      </c>
      <c r="H8" s="137">
        <f t="shared" si="0"/>
        <v>5.6</v>
      </c>
      <c r="I8" s="138" t="str">
        <f t="shared" si="1"/>
        <v>si</v>
      </c>
      <c r="J8" s="139" t="str">
        <f t="shared" si="2"/>
        <v>no</v>
      </c>
    </row>
    <row r="9" spans="2:10" x14ac:dyDescent="0.25">
      <c r="B9" s="136" t="s">
        <v>93</v>
      </c>
      <c r="C9" s="137">
        <v>8</v>
      </c>
      <c r="D9" s="138">
        <v>6.5</v>
      </c>
      <c r="E9" s="138">
        <v>2.5</v>
      </c>
      <c r="F9" s="138">
        <v>3</v>
      </c>
      <c r="G9" s="139">
        <v>4</v>
      </c>
      <c r="H9" s="137">
        <f t="shared" si="0"/>
        <v>4.8</v>
      </c>
      <c r="I9" s="138" t="str">
        <f t="shared" si="1"/>
        <v>no</v>
      </c>
      <c r="J9" s="139" t="str">
        <f t="shared" si="2"/>
        <v>no</v>
      </c>
    </row>
    <row r="10" spans="2:10" x14ac:dyDescent="0.25">
      <c r="B10" s="136" t="s">
        <v>94</v>
      </c>
      <c r="C10" s="137">
        <v>8.5</v>
      </c>
      <c r="D10" s="138">
        <v>8.5</v>
      </c>
      <c r="E10" s="138">
        <v>6.75</v>
      </c>
      <c r="F10" s="138">
        <v>5.5</v>
      </c>
      <c r="G10" s="139">
        <v>7</v>
      </c>
      <c r="H10" s="137">
        <f t="shared" si="0"/>
        <v>7.25</v>
      </c>
      <c r="I10" s="138" t="str">
        <f t="shared" si="1"/>
        <v>si</v>
      </c>
      <c r="J10" s="139" t="str">
        <f t="shared" si="2"/>
        <v>si</v>
      </c>
    </row>
    <row r="11" spans="2:10" x14ac:dyDescent="0.25">
      <c r="B11" s="136" t="s">
        <v>95</v>
      </c>
      <c r="C11" s="137">
        <v>9</v>
      </c>
      <c r="D11" s="138">
        <v>8.75</v>
      </c>
      <c r="E11" s="138">
        <v>7</v>
      </c>
      <c r="F11" s="138">
        <v>7.5</v>
      </c>
      <c r="G11" s="139">
        <v>6</v>
      </c>
      <c r="H11" s="137">
        <f t="shared" si="0"/>
        <v>7.65</v>
      </c>
      <c r="I11" s="138" t="str">
        <f t="shared" si="1"/>
        <v>si</v>
      </c>
      <c r="J11" s="139" t="str">
        <f t="shared" si="2"/>
        <v>si</v>
      </c>
    </row>
    <row r="12" spans="2:10" ht="15.75" thickBot="1" x14ac:dyDescent="0.3">
      <c r="B12" s="140" t="s">
        <v>96</v>
      </c>
      <c r="C12" s="141">
        <v>6</v>
      </c>
      <c r="D12" s="142">
        <v>5</v>
      </c>
      <c r="E12" s="142">
        <v>3</v>
      </c>
      <c r="F12" s="142">
        <v>4</v>
      </c>
      <c r="G12" s="143">
        <v>5</v>
      </c>
      <c r="H12" s="150">
        <f t="shared" si="0"/>
        <v>4.5999999999999996</v>
      </c>
      <c r="I12" s="151" t="str">
        <f t="shared" si="1"/>
        <v>no</v>
      </c>
      <c r="J12" s="152" t="str">
        <f t="shared" si="2"/>
        <v>no</v>
      </c>
    </row>
    <row r="13" spans="2:10" ht="16.5" thickTop="1" thickBot="1" x14ac:dyDescent="0.3">
      <c r="B13" s="146" t="s">
        <v>55</v>
      </c>
      <c r="C13" s="133">
        <f>AVERAGE(C3:C12)</f>
        <v>7.5750000000000002</v>
      </c>
      <c r="D13" s="134">
        <f t="shared" ref="D13:G13" si="3">AVERAGE(D3:D12)</f>
        <v>6.9249999999999998</v>
      </c>
      <c r="E13" s="134">
        <f t="shared" si="3"/>
        <v>5.4249999999999998</v>
      </c>
      <c r="F13" s="134">
        <f t="shared" si="3"/>
        <v>5.85</v>
      </c>
      <c r="G13" s="135">
        <f t="shared" si="3"/>
        <v>6.4</v>
      </c>
      <c r="H13" s="154">
        <f>AVERAGE(C3:G12)</f>
        <v>6.4349999999999996</v>
      </c>
      <c r="I13" s="21"/>
      <c r="J13" s="21"/>
    </row>
    <row r="14" spans="2:10" ht="15.75" thickTop="1" x14ac:dyDescent="0.25">
      <c r="B14" s="147" t="s">
        <v>42</v>
      </c>
      <c r="C14" s="137">
        <f>MAX(C3:C12)</f>
        <v>9</v>
      </c>
      <c r="D14" s="138">
        <f t="shared" ref="D14:G14" si="4">MAX(D3:D12)</f>
        <v>8.75</v>
      </c>
      <c r="E14" s="138">
        <f t="shared" si="4"/>
        <v>8</v>
      </c>
      <c r="F14" s="138">
        <f t="shared" si="4"/>
        <v>9</v>
      </c>
      <c r="G14" s="139">
        <f t="shared" si="4"/>
        <v>9.5</v>
      </c>
      <c r="H14" s="21"/>
      <c r="I14" s="21"/>
      <c r="J14" s="21"/>
    </row>
    <row r="15" spans="2:10" ht="15.75" thickBot="1" x14ac:dyDescent="0.3">
      <c r="B15" s="148" t="s">
        <v>43</v>
      </c>
      <c r="C15" s="150">
        <f>MIN(C3:C12)</f>
        <v>6</v>
      </c>
      <c r="D15" s="151">
        <f t="shared" ref="D15:G15" si="5">MIN(D3:D12)</f>
        <v>4</v>
      </c>
      <c r="E15" s="151">
        <f t="shared" si="5"/>
        <v>2.5</v>
      </c>
      <c r="F15" s="151">
        <f t="shared" si="5"/>
        <v>3</v>
      </c>
      <c r="G15" s="152">
        <f t="shared" si="5"/>
        <v>4</v>
      </c>
      <c r="H15" s="21"/>
      <c r="I15" s="21"/>
      <c r="J15" s="21"/>
    </row>
    <row r="16" spans="2:10" ht="15.75" thickTop="1" x14ac:dyDescent="0.25"/>
  </sheetData>
  <sheetProtection algorithmName="SHA-512" hashValue="6tiq6MR3IY8c5dK8uJiwS5/5CzrPPvYxyTL6j1dWwyE9zJq4QDBjAdyHRpHI+oDqG7wrL3NcSrryYKcna9RsjA==" saltValue="tSR0pKUI3beQ3TVmxKMxR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5</vt:i4>
      </vt:variant>
    </vt:vector>
  </HeadingPairs>
  <TitlesOfParts>
    <vt:vector size="31" baseType="lpstr">
      <vt:lpstr>Ejercicio 1</vt:lpstr>
      <vt:lpstr>Ejercicio 2</vt:lpstr>
      <vt:lpstr>Ejercicio 3</vt:lpstr>
      <vt:lpstr>Ejercicio 4</vt:lpstr>
      <vt:lpstr>Ejercicio 5</vt:lpstr>
      <vt:lpstr>Ejercicio 6</vt:lpstr>
      <vt:lpstr>Ejercicio 7</vt:lpstr>
      <vt:lpstr>Ejercicio 8</vt:lpstr>
      <vt:lpstr>Ejercicio 9A</vt:lpstr>
      <vt:lpstr>Ejercicio 9B</vt:lpstr>
      <vt:lpstr>Ejercicio 10</vt:lpstr>
      <vt:lpstr>Ejercicio 11A</vt:lpstr>
      <vt:lpstr>Ejercicio 11B</vt:lpstr>
      <vt:lpstr>Ejercicio 11C</vt:lpstr>
      <vt:lpstr>Ejercicio 12A</vt:lpstr>
      <vt:lpstr>Ejercicio 12B</vt:lpstr>
      <vt:lpstr>Ejercicio 12C</vt:lpstr>
      <vt:lpstr>Ejercicio 13</vt:lpstr>
      <vt:lpstr>Ejercicio 14</vt:lpstr>
      <vt:lpstr>Ejercicio 15</vt:lpstr>
      <vt:lpstr>Ejercicio 16A</vt:lpstr>
      <vt:lpstr>Ejercicio 16B</vt:lpstr>
      <vt:lpstr>Ejercicio 17</vt:lpstr>
      <vt:lpstr>Ejercicio 18</vt:lpstr>
      <vt:lpstr>Ejercicio 19</vt:lpstr>
      <vt:lpstr>Ejercicio 20</vt:lpstr>
      <vt:lpstr>'Ejercicio 9B'!_Toc167610948</vt:lpstr>
      <vt:lpstr>'Ejercicio 16A'!_Toc167610950</vt:lpstr>
      <vt:lpstr>descuento</vt:lpstr>
      <vt:lpstr>inventario</vt:lpstr>
      <vt:lpstr>tabla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D&amp;G</dc:creator>
  <cp:lastModifiedBy>David Navarro Castelló</cp:lastModifiedBy>
  <dcterms:created xsi:type="dcterms:W3CDTF">2009-03-02T12:14:18Z</dcterms:created>
  <dcterms:modified xsi:type="dcterms:W3CDTF">2023-11-06T11:56:22Z</dcterms:modified>
</cp:coreProperties>
</file>